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D:\Nueva legislacion\Renta naturales 2022\"/>
    </mc:Choice>
  </mc:AlternateContent>
  <xr:revisionPtr revIDLastSave="0" documentId="13_ncr:1_{4B178AEE-0538-427B-BC17-6E434AA76682}" xr6:coauthVersionLast="47" xr6:coauthVersionMax="47" xr10:uidLastSave="{00000000-0000-0000-0000-000000000000}"/>
  <bookViews>
    <workbookView xWindow="-120" yWindow="-120" windowWidth="20730" windowHeight="11040" tabRatio="915" activeTab="6" xr2:uid="{00000000-000D-0000-FFFF-FFFF00000000}"/>
  </bookViews>
  <sheets>
    <sheet name="1 Efectivo" sheetId="2" r:id="rId1"/>
    <sheet name="2 Inversiones" sheetId="7" r:id="rId2"/>
    <sheet name="6 Fiducia" sheetId="29" r:id="rId3"/>
    <sheet name="7 Clientes" sheetId="31" r:id="rId4"/>
    <sheet name="8 Prestamos" sheetId="9" r:id="rId5"/>
    <sheet name="9 Inventario" sheetId="33" r:id="rId6"/>
    <sheet name="11 PPYE y PI" sheetId="32" r:id="rId7"/>
    <sheet name="13 PB" sheetId="28" r:id="rId8"/>
    <sheet name="14 Deudas" sheetId="10" r:id="rId9"/>
    <sheet name="15 CG RT" sheetId="4" r:id="rId10"/>
    <sheet name="16 CG RC" sheetId="11" r:id="rId11"/>
    <sheet name="17 CG RNL" sheetId="26" r:id="rId12"/>
    <sheet name="18 Limite CG" sheetId="27" r:id="rId13"/>
    <sheet name="19 RP" sheetId="5" state="hidden" r:id="rId14"/>
    <sheet name="20 Div" sheetId="17" r:id="rId15"/>
    <sheet name="21 GO" sheetId="3" r:id="rId16"/>
    <sheet name="22 Tarifas" sheetId="20" r:id="rId17"/>
    <sheet name="23 DT" sheetId="34" r:id="rId18"/>
    <sheet name="24 Anticipo" sheetId="6" r:id="rId19"/>
    <sheet name="25 Justificacion" sheetId="24" r:id="rId20"/>
    <sheet name="Costo art 73" sheetId="30" r:id="rId21"/>
    <sheet name="Formulario 2020" sheetId="25" state="hidden" r:id="rId22"/>
    <sheet name="Formulario 210" sheetId="35"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32" l="1"/>
  <c r="B43" i="32"/>
  <c r="B38" i="32"/>
  <c r="B42" i="32"/>
  <c r="F16" i="9"/>
  <c r="F17" i="9"/>
  <c r="G17" i="9"/>
  <c r="G16" i="9"/>
  <c r="E101" i="30"/>
  <c r="E100" i="30"/>
  <c r="E97" i="30"/>
  <c r="E95" i="30"/>
  <c r="E98" i="30" s="1"/>
  <c r="D95" i="30"/>
  <c r="D98" i="30" s="1"/>
  <c r="E94" i="30"/>
  <c r="C94" i="30"/>
  <c r="C95" i="30" s="1"/>
  <c r="C98" i="30" s="1"/>
  <c r="E93" i="30"/>
  <c r="E92" i="30"/>
  <c r="G74" i="30"/>
  <c r="F74" i="30"/>
  <c r="G73" i="30"/>
  <c r="F73" i="30"/>
  <c r="G72" i="30"/>
  <c r="F72" i="30"/>
  <c r="G71" i="30"/>
  <c r="F71" i="30"/>
  <c r="G70" i="30"/>
  <c r="F70" i="30"/>
  <c r="G69" i="30"/>
  <c r="F69" i="30"/>
  <c r="G68" i="30"/>
  <c r="F68" i="30"/>
  <c r="G67" i="30"/>
  <c r="F67" i="30"/>
  <c r="G66" i="30"/>
  <c r="F66" i="30"/>
  <c r="G65" i="30"/>
  <c r="F65" i="30"/>
  <c r="G64" i="30"/>
  <c r="F64" i="30"/>
  <c r="G63" i="30"/>
  <c r="F63" i="30"/>
  <c r="G62" i="30"/>
  <c r="F62" i="30"/>
  <c r="G61" i="30"/>
  <c r="F61" i="30"/>
  <c r="G60" i="30"/>
  <c r="F60" i="30"/>
  <c r="G59" i="30"/>
  <c r="F59" i="30"/>
  <c r="G58" i="30"/>
  <c r="F58" i="30"/>
  <c r="G57" i="30"/>
  <c r="F57" i="30"/>
  <c r="G56" i="30"/>
  <c r="F56" i="30"/>
  <c r="G55" i="30"/>
  <c r="F55" i="30"/>
  <c r="G54" i="30"/>
  <c r="F54" i="30"/>
  <c r="G53" i="30"/>
  <c r="F53" i="30"/>
  <c r="G52" i="30"/>
  <c r="F52" i="30"/>
  <c r="G51" i="30"/>
  <c r="F51" i="30"/>
  <c r="G50" i="30"/>
  <c r="F50" i="30"/>
  <c r="G49" i="30"/>
  <c r="F49" i="30"/>
  <c r="G48" i="30"/>
  <c r="F48" i="30"/>
  <c r="G47" i="30"/>
  <c r="F47" i="30"/>
  <c r="G46" i="30"/>
  <c r="F46" i="30"/>
  <c r="G45" i="30"/>
  <c r="F45" i="30"/>
  <c r="G44" i="30"/>
  <c r="F44" i="30"/>
  <c r="G43" i="30"/>
  <c r="F43" i="30"/>
  <c r="G42" i="30"/>
  <c r="F42" i="30"/>
  <c r="G41" i="30"/>
  <c r="F41" i="30"/>
  <c r="G40" i="30"/>
  <c r="F40" i="30"/>
  <c r="G39" i="30"/>
  <c r="F39" i="30"/>
  <c r="G38" i="30"/>
  <c r="F38" i="30"/>
  <c r="G37" i="30"/>
  <c r="F37" i="30"/>
  <c r="G36" i="30"/>
  <c r="F36" i="30"/>
  <c r="G35" i="30"/>
  <c r="F35" i="30"/>
  <c r="G34" i="30"/>
  <c r="F34" i="30"/>
  <c r="G33" i="30"/>
  <c r="F33" i="30"/>
  <c r="G32" i="30"/>
  <c r="F32" i="30"/>
  <c r="G31" i="30"/>
  <c r="F31" i="30"/>
  <c r="G30" i="30"/>
  <c r="F30" i="30"/>
  <c r="G29" i="30"/>
  <c r="F29" i="30"/>
  <c r="G28" i="30"/>
  <c r="F28" i="30"/>
  <c r="G27" i="30"/>
  <c r="F27" i="30"/>
  <c r="G26" i="30"/>
  <c r="F26" i="30"/>
  <c r="G25" i="30"/>
  <c r="F25" i="30"/>
  <c r="G24" i="30"/>
  <c r="F24" i="30"/>
  <c r="G23" i="30"/>
  <c r="F23" i="30"/>
  <c r="G22" i="30"/>
  <c r="F22" i="30"/>
  <c r="G21" i="30"/>
  <c r="F21" i="30"/>
  <c r="G20" i="30"/>
  <c r="F20" i="30"/>
  <c r="G19" i="30"/>
  <c r="F19" i="30"/>
  <c r="G18" i="30"/>
  <c r="F18" i="30"/>
  <c r="G17" i="30"/>
  <c r="F17" i="30"/>
  <c r="G16" i="30"/>
  <c r="F16" i="30"/>
  <c r="G15" i="30"/>
  <c r="F15" i="30"/>
  <c r="G14" i="30"/>
  <c r="F14" i="30"/>
  <c r="G13" i="30"/>
  <c r="F13" i="30"/>
  <c r="G12" i="30"/>
  <c r="F12" i="30"/>
  <c r="G11" i="30"/>
  <c r="F11" i="30"/>
  <c r="G10" i="30"/>
  <c r="F10" i="30"/>
  <c r="G9" i="30"/>
  <c r="F9" i="30"/>
  <c r="B38" i="33"/>
  <c r="F20" i="9"/>
  <c r="G20" i="9" s="1"/>
  <c r="F19" i="9"/>
  <c r="G19" i="9" s="1"/>
  <c r="F18" i="9"/>
  <c r="G18" i="9" s="1"/>
  <c r="F18" i="31"/>
  <c r="D14" i="31"/>
  <c r="F5" i="31"/>
  <c r="D5" i="31"/>
  <c r="Z15" i="35"/>
  <c r="J17" i="2"/>
  <c r="E18" i="2"/>
  <c r="E17" i="2"/>
  <c r="E16" i="2"/>
  <c r="E15" i="2"/>
  <c r="C17" i="2"/>
  <c r="B18" i="2"/>
  <c r="A33" i="28"/>
  <c r="D19" i="29"/>
  <c r="C19" i="29"/>
  <c r="C5" i="34"/>
  <c r="D19" i="33"/>
  <c r="C8" i="6"/>
  <c r="C5" i="3"/>
  <c r="B25" i="3"/>
  <c r="B24" i="3"/>
  <c r="B21" i="3"/>
  <c r="B20" i="3"/>
  <c r="B10" i="17"/>
  <c r="B20" i="27"/>
  <c r="B13" i="11"/>
  <c r="B17" i="11" s="1"/>
  <c r="B14" i="11"/>
  <c r="C13" i="4"/>
  <c r="C12" i="4"/>
  <c r="C6" i="4"/>
  <c r="C46" i="32"/>
  <c r="C12" i="32"/>
  <c r="C11" i="32"/>
  <c r="C10" i="32"/>
  <c r="C7" i="32"/>
  <c r="C12" i="29"/>
  <c r="C18" i="29"/>
  <c r="C17" i="29"/>
  <c r="C16" i="29"/>
  <c r="C12" i="2"/>
  <c r="E103" i="30" l="1"/>
  <c r="E105" i="30"/>
  <c r="B23" i="3"/>
  <c r="A18" i="27" l="1"/>
  <c r="B24" i="10"/>
  <c r="B23" i="10"/>
  <c r="B24" i="27" l="1"/>
  <c r="B28" i="27" s="1"/>
  <c r="C6" i="5"/>
  <c r="B37" i="32" l="1"/>
  <c r="D18" i="29" l="1"/>
  <c r="D17" i="29"/>
  <c r="D15" i="29"/>
  <c r="D14" i="29"/>
  <c r="D13" i="29"/>
  <c r="D12" i="29"/>
  <c r="D11" i="29"/>
  <c r="D10" i="29"/>
  <c r="D8" i="29"/>
  <c r="N37" i="35"/>
  <c r="Z18" i="35"/>
  <c r="CM48" i="35"/>
  <c r="CM46" i="35"/>
  <c r="CM45" i="35"/>
  <c r="CL45" i="35"/>
  <c r="CL44" i="35"/>
  <c r="CL41" i="35"/>
  <c r="CM33" i="35"/>
  <c r="CL32" i="35"/>
  <c r="CM30" i="35"/>
  <c r="CL30" i="35"/>
  <c r="CO29" i="35"/>
  <c r="CM27" i="35"/>
  <c r="CL27" i="35"/>
  <c r="CO27" i="35"/>
  <c r="CN27" i="35"/>
  <c r="CL26" i="35"/>
  <c r="CL25" i="35"/>
  <c r="CO24" i="35"/>
  <c r="CM24" i="35"/>
  <c r="CM22" i="35"/>
  <c r="CM19" i="35"/>
  <c r="CM17" i="35"/>
  <c r="CL17" i="35"/>
  <c r="CN17" i="35"/>
  <c r="CL15" i="35"/>
  <c r="CM15" i="35"/>
  <c r="CN13" i="35"/>
  <c r="CM13" i="35"/>
  <c r="CL13" i="35"/>
  <c r="CO13" i="35"/>
  <c r="CM12" i="35"/>
  <c r="D24" i="34"/>
  <c r="D19" i="34"/>
  <c r="D15" i="34"/>
  <c r="C15" i="34"/>
  <c r="D13" i="34"/>
  <c r="C13" i="34"/>
  <c r="B13" i="34"/>
  <c r="D7" i="34"/>
  <c r="D5" i="34"/>
  <c r="C6" i="34"/>
  <c r="D6" i="34" s="1"/>
  <c r="AA39" i="35" s="1"/>
  <c r="C8" i="34"/>
  <c r="B8" i="34"/>
  <c r="B16" i="34" s="1"/>
  <c r="B64" i="20"/>
  <c r="B70" i="20"/>
  <c r="B82" i="20"/>
  <c r="B50" i="20"/>
  <c r="C46" i="20"/>
  <c r="A46" i="20"/>
  <c r="D7" i="3"/>
  <c r="N47" i="35" s="1"/>
  <c r="CL47" i="35" s="1"/>
  <c r="C29" i="5"/>
  <c r="H6" i="3"/>
  <c r="H5" i="3"/>
  <c r="C16" i="34" l="1"/>
  <c r="D16" i="34" s="1"/>
  <c r="D25" i="34" s="1"/>
  <c r="C14" i="4"/>
  <c r="J14" i="35" s="1"/>
  <c r="CL14" i="35" s="1"/>
  <c r="R26" i="35"/>
  <c r="CM26" i="35" s="1"/>
  <c r="R23" i="35"/>
  <c r="CM23" i="35" s="1"/>
  <c r="R20" i="35"/>
  <c r="CM20" i="35" s="1"/>
  <c r="N33" i="35"/>
  <c r="CM14" i="35"/>
  <c r="R16" i="35"/>
  <c r="CM16" i="35" s="1"/>
  <c r="CO17" i="35"/>
  <c r="CM21" i="35"/>
  <c r="CL33" i="35"/>
  <c r="R25" i="35"/>
  <c r="CL31" i="35"/>
  <c r="CM44" i="35"/>
  <c r="CM18" i="35"/>
  <c r="D8" i="34"/>
  <c r="AK38" i="35" s="1"/>
  <c r="CN19" i="35" l="1"/>
  <c r="CM25" i="35"/>
  <c r="R28" i="35"/>
  <c r="CM28" i="35" s="1"/>
  <c r="CO14" i="35"/>
  <c r="Z20" i="35" l="1"/>
  <c r="CN20" i="35" s="1"/>
  <c r="CN18" i="35"/>
  <c r="CO22" i="35"/>
  <c r="CO19" i="35"/>
  <c r="CN21" i="35"/>
  <c r="AH20" i="35" l="1"/>
  <c r="CO20" i="35" s="1"/>
  <c r="CO18" i="35"/>
  <c r="AH23" i="35"/>
  <c r="CO23" i="35" s="1"/>
  <c r="CO21" i="35"/>
  <c r="D28" i="34"/>
  <c r="A7" i="27" l="1"/>
  <c r="A12" i="27" s="1"/>
  <c r="A6" i="27"/>
  <c r="A11" i="27" s="1"/>
  <c r="A5" i="27"/>
  <c r="A10" i="27" s="1"/>
  <c r="B16" i="11"/>
  <c r="B15" i="11"/>
  <c r="B8" i="11" l="1"/>
  <c r="B9" i="11"/>
  <c r="C34" i="4"/>
  <c r="J21" i="35" s="1"/>
  <c r="CL21" i="35" s="1"/>
  <c r="C23" i="4"/>
  <c r="J18" i="35" s="1"/>
  <c r="CL18" i="35" s="1"/>
  <c r="E45" i="4"/>
  <c r="C25" i="4"/>
  <c r="C8" i="4"/>
  <c r="B13" i="5"/>
  <c r="C13" i="5" s="1"/>
  <c r="C12" i="5"/>
  <c r="C9" i="4" l="1"/>
  <c r="E38" i="4" s="1"/>
  <c r="C38" i="4" s="1"/>
  <c r="D7" i="10"/>
  <c r="B19" i="28"/>
  <c r="A19" i="28"/>
  <c r="A32" i="28"/>
  <c r="A25" i="28"/>
  <c r="A26" i="28"/>
  <c r="A27" i="28"/>
  <c r="A28" i="28"/>
  <c r="A29" i="28"/>
  <c r="A30" i="28"/>
  <c r="A31" i="28"/>
  <c r="A24" i="28"/>
  <c r="A23" i="28"/>
  <c r="A22" i="28"/>
  <c r="A21" i="28"/>
  <c r="B18" i="28"/>
  <c r="A18" i="28"/>
  <c r="A17" i="28"/>
  <c r="A14" i="28"/>
  <c r="A15" i="28"/>
  <c r="A16" i="28"/>
  <c r="A13" i="28"/>
  <c r="A12" i="28"/>
  <c r="A11" i="28"/>
  <c r="A8" i="28"/>
  <c r="A9" i="28"/>
  <c r="A10" i="28"/>
  <c r="B4" i="28"/>
  <c r="A5" i="28"/>
  <c r="A6" i="28"/>
  <c r="A7" i="28"/>
  <c r="A4" i="28"/>
  <c r="E46" i="32"/>
  <c r="B30" i="32"/>
  <c r="D12" i="32"/>
  <c r="D11" i="32"/>
  <c r="D9" i="32"/>
  <c r="D8" i="32"/>
  <c r="D6" i="32"/>
  <c r="D5" i="32"/>
  <c r="B13" i="32"/>
  <c r="D10" i="32"/>
  <c r="B27" i="33"/>
  <c r="B30" i="33"/>
  <c r="B22" i="33"/>
  <c r="B7" i="33" s="1"/>
  <c r="D7" i="33" s="1"/>
  <c r="B23" i="28" s="1"/>
  <c r="D21" i="33"/>
  <c r="D20" i="33"/>
  <c r="B15" i="33"/>
  <c r="B6" i="33" s="1"/>
  <c r="B36" i="33" s="1"/>
  <c r="D14" i="33"/>
  <c r="D13" i="33"/>
  <c r="D12" i="33"/>
  <c r="F45" i="9"/>
  <c r="G45" i="9" s="1"/>
  <c r="F44" i="9"/>
  <c r="G44" i="9" s="1"/>
  <c r="F43" i="9"/>
  <c r="G43" i="9" s="1"/>
  <c r="F42" i="9"/>
  <c r="G42" i="9" s="1"/>
  <c r="F41" i="9"/>
  <c r="F40" i="9"/>
  <c r="G40" i="9" s="1"/>
  <c r="F39" i="9"/>
  <c r="G39" i="9" s="1"/>
  <c r="F38" i="9"/>
  <c r="G38" i="9" s="1"/>
  <c r="F37" i="9"/>
  <c r="G37" i="9" s="1"/>
  <c r="F36" i="9"/>
  <c r="G36" i="9" s="1"/>
  <c r="F35" i="9"/>
  <c r="G35" i="9" s="1"/>
  <c r="F34" i="9"/>
  <c r="G34" i="9" s="1"/>
  <c r="F33" i="9"/>
  <c r="G33" i="9" s="1"/>
  <c r="F32" i="9"/>
  <c r="G32" i="9" s="1"/>
  <c r="F30" i="9"/>
  <c r="F29" i="9"/>
  <c r="F28" i="9"/>
  <c r="F27" i="9"/>
  <c r="F26" i="9"/>
  <c r="F25" i="9"/>
  <c r="F24" i="9"/>
  <c r="F23" i="9"/>
  <c r="F22" i="9"/>
  <c r="F21" i="9"/>
  <c r="F31" i="9"/>
  <c r="G41" i="9"/>
  <c r="D17" i="9"/>
  <c r="D18" i="9" s="1"/>
  <c r="D19" i="9" s="1"/>
  <c r="B12" i="31"/>
  <c r="D15" i="31"/>
  <c r="F11" i="31"/>
  <c r="D10" i="31"/>
  <c r="F9" i="31"/>
  <c r="F8" i="31"/>
  <c r="D8" i="31"/>
  <c r="F7" i="31"/>
  <c r="D7" i="31"/>
  <c r="F6" i="31"/>
  <c r="D6" i="31"/>
  <c r="F6" i="32" l="1"/>
  <c r="B25" i="28" s="1"/>
  <c r="F8" i="32"/>
  <c r="B27" i="28" s="1"/>
  <c r="F12" i="32"/>
  <c r="B31" i="28" s="1"/>
  <c r="F9" i="32"/>
  <c r="B28" i="28" s="1"/>
  <c r="F10" i="32"/>
  <c r="B29" i="28" s="1"/>
  <c r="F11" i="32"/>
  <c r="B30" i="28" s="1"/>
  <c r="F5" i="32"/>
  <c r="B24" i="28" s="1"/>
  <c r="C16" i="4"/>
  <c r="C18" i="4" s="1"/>
  <c r="J12" i="35"/>
  <c r="B34" i="32"/>
  <c r="C47" i="32" s="1"/>
  <c r="D47" i="32"/>
  <c r="C13" i="32"/>
  <c r="D7" i="32"/>
  <c r="B37" i="33"/>
  <c r="B35" i="33" s="1"/>
  <c r="B12" i="26" s="1"/>
  <c r="C8" i="33"/>
  <c r="B8" i="33"/>
  <c r="D6" i="33"/>
  <c r="B22" i="28" s="1"/>
  <c r="D20" i="9"/>
  <c r="D21" i="9" s="1"/>
  <c r="G21" i="9" s="1"/>
  <c r="D9" i="31"/>
  <c r="F10" i="31"/>
  <c r="F12" i="31" s="1"/>
  <c r="D11" i="31"/>
  <c r="D12" i="31" s="1"/>
  <c r="F7" i="32" l="1"/>
  <c r="B26" i="28" s="1"/>
  <c r="CL12" i="35"/>
  <c r="J16" i="35"/>
  <c r="CL16" i="35" s="1"/>
  <c r="E47" i="32"/>
  <c r="D48" i="32" s="1"/>
  <c r="C48" i="32"/>
  <c r="C49" i="32" s="1"/>
  <c r="C50" i="32" s="1"/>
  <c r="C51" i="32" s="1"/>
  <c r="C52" i="32" s="1"/>
  <c r="C53" i="32" s="1"/>
  <c r="C54" i="32" s="1"/>
  <c r="C55" i="32" s="1"/>
  <c r="C56" i="32" s="1"/>
  <c r="C57" i="32" s="1"/>
  <c r="C58" i="32" s="1"/>
  <c r="C59" i="32" s="1"/>
  <c r="C60" i="32" s="1"/>
  <c r="C61" i="32" s="1"/>
  <c r="C62" i="32" s="1"/>
  <c r="C63" i="32" s="1"/>
  <c r="C64" i="32" s="1"/>
  <c r="C65" i="32" s="1"/>
  <c r="C66" i="32" s="1"/>
  <c r="C67" i="32" s="1"/>
  <c r="C68" i="32" s="1"/>
  <c r="C69" i="32" s="1"/>
  <c r="C70" i="32" s="1"/>
  <c r="C71" i="32" s="1"/>
  <c r="C72" i="32" s="1"/>
  <c r="C73" i="32" s="1"/>
  <c r="C74" i="32" s="1"/>
  <c r="C75" i="32" s="1"/>
  <c r="C76" i="32" s="1"/>
  <c r="C77" i="32" s="1"/>
  <c r="C78" i="32" s="1"/>
  <c r="C79" i="32" s="1"/>
  <c r="C80" i="32" s="1"/>
  <c r="C81" i="32" s="1"/>
  <c r="C82" i="32" s="1"/>
  <c r="C83" i="32" s="1"/>
  <c r="C84" i="32" s="1"/>
  <c r="C85" i="32" s="1"/>
  <c r="C86" i="32" s="1"/>
  <c r="C87" i="32" s="1"/>
  <c r="C88" i="32" s="1"/>
  <c r="C89" i="32" s="1"/>
  <c r="C90" i="32" s="1"/>
  <c r="C91" i="32" s="1"/>
  <c r="C92" i="32" s="1"/>
  <c r="C93" i="32" s="1"/>
  <c r="C94" i="32" s="1"/>
  <c r="C95" i="32" s="1"/>
  <c r="C96" i="32" s="1"/>
  <c r="C97" i="32" s="1"/>
  <c r="C98" i="32" s="1"/>
  <c r="C99" i="32" s="1"/>
  <c r="C100" i="32" s="1"/>
  <c r="C101" i="32" s="1"/>
  <c r="C102" i="32" s="1"/>
  <c r="C103" i="32" s="1"/>
  <c r="C104" i="32" s="1"/>
  <c r="C105" i="32" s="1"/>
  <c r="C106" i="32" s="1"/>
  <c r="B39" i="32"/>
  <c r="B32" i="28" s="1"/>
  <c r="B15" i="26"/>
  <c r="F13" i="32"/>
  <c r="D13" i="32"/>
  <c r="D8" i="33"/>
  <c r="D22" i="9"/>
  <c r="G22" i="9" s="1"/>
  <c r="F20" i="31"/>
  <c r="B20" i="28" s="1"/>
  <c r="F19" i="31"/>
  <c r="C109" i="32" l="1"/>
  <c r="E48" i="32"/>
  <c r="D49" i="32" s="1"/>
  <c r="E49" i="32" s="1"/>
  <c r="D50" i="32" s="1"/>
  <c r="E50" i="32" s="1"/>
  <c r="D51" i="32" s="1"/>
  <c r="E51" i="32" s="1"/>
  <c r="G7" i="32"/>
  <c r="C9" i="24" s="1"/>
  <c r="D23" i="9"/>
  <c r="G23" i="9" s="1"/>
  <c r="G13" i="32" l="1"/>
  <c r="D52" i="32"/>
  <c r="E52" i="32" s="1"/>
  <c r="D24" i="9"/>
  <c r="G24" i="9" s="1"/>
  <c r="D53" i="32" l="1"/>
  <c r="E53" i="32" s="1"/>
  <c r="D25" i="9"/>
  <c r="G25" i="9" s="1"/>
  <c r="D54" i="32" l="1"/>
  <c r="D26" i="9"/>
  <c r="G26" i="9" s="1"/>
  <c r="E54" i="32" l="1"/>
  <c r="D55" i="32"/>
  <c r="E55" i="32" s="1"/>
  <c r="D27" i="9"/>
  <c r="G27" i="9" s="1"/>
  <c r="D56" i="32" l="1"/>
  <c r="E56" i="32" s="1"/>
  <c r="D28" i="9"/>
  <c r="G28" i="9" s="1"/>
  <c r="D57" i="32" l="1"/>
  <c r="E57" i="32" s="1"/>
  <c r="D29" i="9"/>
  <c r="G29" i="9" s="1"/>
  <c r="D58" i="32" l="1"/>
  <c r="E58" i="32" s="1"/>
  <c r="D30" i="9"/>
  <c r="G30" i="9" s="1"/>
  <c r="D59" i="32" l="1"/>
  <c r="E59" i="32" s="1"/>
  <c r="D31" i="9"/>
  <c r="G31" i="9" s="1"/>
  <c r="G13" i="9" l="1"/>
  <c r="B5" i="11" s="1"/>
  <c r="B10" i="11" s="1"/>
  <c r="D60" i="32"/>
  <c r="E60" i="32" s="1"/>
  <c r="D32" i="9"/>
  <c r="D33" i="9" s="1"/>
  <c r="D34" i="9" s="1"/>
  <c r="D35" i="9" s="1"/>
  <c r="D36" i="9" s="1"/>
  <c r="D37" i="9" s="1"/>
  <c r="D38" i="9" s="1"/>
  <c r="D39" i="9" s="1"/>
  <c r="D40" i="9" s="1"/>
  <c r="D41" i="9" s="1"/>
  <c r="D42" i="9" s="1"/>
  <c r="D43" i="9" s="1"/>
  <c r="D44" i="9" s="1"/>
  <c r="D45" i="9" s="1"/>
  <c r="G6" i="9" s="1"/>
  <c r="Z12" i="35" l="1"/>
  <c r="CN12" i="35" s="1"/>
  <c r="D32" i="11"/>
  <c r="B32" i="11" s="1"/>
  <c r="Z22" i="35" s="1"/>
  <c r="Z23" i="35" s="1"/>
  <c r="CN23" i="35" s="1"/>
  <c r="G7" i="9"/>
  <c r="B21" i="28"/>
  <c r="D61" i="32"/>
  <c r="E61" i="32" s="1"/>
  <c r="B29" i="7"/>
  <c r="D28" i="7"/>
  <c r="B16" i="28" s="1"/>
  <c r="D27" i="7"/>
  <c r="B15" i="28" s="1"/>
  <c r="D26" i="7"/>
  <c r="B14" i="28" s="1"/>
  <c r="B45" i="7"/>
  <c r="C44" i="7"/>
  <c r="B17" i="28" s="1"/>
  <c r="D17" i="7"/>
  <c r="D16" i="7"/>
  <c r="D18" i="7"/>
  <c r="I18" i="7" s="1"/>
  <c r="D16" i="29"/>
  <c r="B23" i="11" s="1"/>
  <c r="B26" i="11" s="1"/>
  <c r="CN15" i="35" s="1"/>
  <c r="F8" i="7"/>
  <c r="G8" i="7" s="1"/>
  <c r="B10" i="28" s="1"/>
  <c r="F7" i="7"/>
  <c r="G7" i="7" s="1"/>
  <c r="B9" i="28" s="1"/>
  <c r="F6" i="7"/>
  <c r="G6" i="7" s="1"/>
  <c r="B8" i="28" s="1"/>
  <c r="D8" i="7"/>
  <c r="D7" i="7"/>
  <c r="D6" i="7"/>
  <c r="F12" i="2"/>
  <c r="G7" i="2" s="1"/>
  <c r="B7" i="28" s="1"/>
  <c r="C18" i="2"/>
  <c r="D12" i="2"/>
  <c r="H12" i="2" s="1"/>
  <c r="CN22" i="35" l="1"/>
  <c r="J18" i="7"/>
  <c r="B13" i="28"/>
  <c r="I16" i="7"/>
  <c r="B11" i="28" s="1"/>
  <c r="I17" i="7"/>
  <c r="B12" i="28" s="1"/>
  <c r="D62" i="32"/>
  <c r="E62" i="32" s="1"/>
  <c r="D29" i="7"/>
  <c r="C45" i="7"/>
  <c r="D19" i="7"/>
  <c r="D9" i="7"/>
  <c r="G9" i="7"/>
  <c r="F9" i="7"/>
  <c r="I19" i="7" l="1"/>
  <c r="J17" i="7"/>
  <c r="C10" i="5"/>
  <c r="J16" i="7"/>
  <c r="D63" i="32"/>
  <c r="E63" i="32" s="1"/>
  <c r="J19" i="7" l="1"/>
  <c r="D64" i="32"/>
  <c r="E64" i="32" s="1"/>
  <c r="C14" i="5"/>
  <c r="C15" i="5" s="1"/>
  <c r="E37" i="4"/>
  <c r="D65" i="32" l="1"/>
  <c r="E65" i="32" l="1"/>
  <c r="D6" i="10" s="1"/>
  <c r="B14" i="26"/>
  <c r="B17" i="26" s="1"/>
  <c r="AH15" i="35" s="1"/>
  <c r="CO15" i="35" s="1"/>
  <c r="C6" i="24"/>
  <c r="B36" i="20"/>
  <c r="C35" i="20"/>
  <c r="B35" i="20"/>
  <c r="C34" i="20"/>
  <c r="B34" i="20"/>
  <c r="C33" i="20"/>
  <c r="B33" i="20"/>
  <c r="C32" i="20"/>
  <c r="B32" i="20"/>
  <c r="C31" i="20"/>
  <c r="B31" i="20"/>
  <c r="C30" i="20"/>
  <c r="B30" i="20"/>
  <c r="D66" i="32" l="1"/>
  <c r="E66" i="32" s="1"/>
  <c r="D67" i="32" s="1"/>
  <c r="E67" i="32" s="1"/>
  <c r="B22" i="17"/>
  <c r="N40" i="35" s="1"/>
  <c r="B17" i="17"/>
  <c r="B8" i="17"/>
  <c r="N36" i="35" s="1"/>
  <c r="B69" i="20" l="1"/>
  <c r="N39" i="35"/>
  <c r="AH24" i="25"/>
  <c r="B77" i="20"/>
  <c r="B78" i="20" s="1"/>
  <c r="AH20" i="25"/>
  <c r="B12" i="17"/>
  <c r="B60" i="20" s="1"/>
  <c r="B63" i="20" s="1"/>
  <c r="AH21" i="25"/>
  <c r="AH23" i="25"/>
  <c r="O38" i="25"/>
  <c r="D68" i="32"/>
  <c r="E68" i="32" s="1"/>
  <c r="B71" i="20" l="1"/>
  <c r="B72" i="20" s="1"/>
  <c r="B73" i="20" s="1"/>
  <c r="B74" i="20" s="1"/>
  <c r="B65" i="20"/>
  <c r="B66" i="20" s="1"/>
  <c r="B80" i="20"/>
  <c r="B83" i="20" s="1"/>
  <c r="B84" i="20" s="1"/>
  <c r="B85" i="20" s="1"/>
  <c r="B86" i="20" s="1"/>
  <c r="AH22" i="25"/>
  <c r="D69" i="32"/>
  <c r="E69" i="32" s="1"/>
  <c r="O17" i="25"/>
  <c r="F37" i="4"/>
  <c r="C37" i="4" s="1"/>
  <c r="E36" i="4"/>
  <c r="G7" i="20"/>
  <c r="G8" i="20"/>
  <c r="G6" i="20"/>
  <c r="G5" i="20"/>
  <c r="AH35" i="35" l="1"/>
  <c r="AH34" i="25"/>
  <c r="D70" i="32"/>
  <c r="E70" i="32" s="1"/>
  <c r="AX15" i="25"/>
  <c r="AX16" i="25"/>
  <c r="AW17" i="25"/>
  <c r="AX17" i="25"/>
  <c r="AX18" i="25"/>
  <c r="AW19" i="25"/>
  <c r="AX19" i="25"/>
  <c r="AX20" i="25"/>
  <c r="AX21" i="25"/>
  <c r="AX22" i="25"/>
  <c r="AX23" i="25"/>
  <c r="AX24" i="25"/>
  <c r="AX25" i="25"/>
  <c r="N26" i="25"/>
  <c r="N27" i="25" s="1"/>
  <c r="N28" i="25" s="1"/>
  <c r="AX26" i="25"/>
  <c r="AW28" i="25"/>
  <c r="N30" i="25"/>
  <c r="N31" i="25"/>
  <c r="N32" i="25" s="1"/>
  <c r="N33" i="25" s="1"/>
  <c r="N34" i="25" s="1"/>
  <c r="N35" i="25" s="1"/>
  <c r="N36" i="25" s="1"/>
  <c r="AW32" i="25"/>
  <c r="AX32" i="25"/>
  <c r="AW33" i="25"/>
  <c r="AX33" i="25"/>
  <c r="AX34" i="25"/>
  <c r="AW36" i="25"/>
  <c r="AW37" i="25"/>
  <c r="AX37" i="25"/>
  <c r="N38" i="25"/>
  <c r="N39" i="25" s="1"/>
  <c r="N40" i="25" s="1"/>
  <c r="AW38" i="25"/>
  <c r="AX38" i="25"/>
  <c r="AX39" i="25"/>
  <c r="AW40" i="25"/>
  <c r="AX40" i="25"/>
  <c r="AW41" i="25"/>
  <c r="N42" i="25"/>
  <c r="N43" i="25" s="1"/>
  <c r="N44" i="25" s="1"/>
  <c r="AW42" i="25"/>
  <c r="AX43" i="25"/>
  <c r="AW44" i="25"/>
  <c r="AW45" i="25"/>
  <c r="AX45" i="25"/>
  <c r="N46" i="25"/>
  <c r="AX46" i="25"/>
  <c r="AX47" i="25"/>
  <c r="AW50" i="25"/>
  <c r="AX50" i="25"/>
  <c r="AW51" i="25"/>
  <c r="AW52" i="25"/>
  <c r="AX52" i="25"/>
  <c r="C39" i="4" l="1"/>
  <c r="C41" i="4" s="1"/>
  <c r="B88" i="20"/>
  <c r="D71" i="32"/>
  <c r="E71" i="32" s="1"/>
  <c r="O24" i="25"/>
  <c r="F31" i="11"/>
  <c r="C47" i="5" s="1"/>
  <c r="F30" i="11"/>
  <c r="C46" i="5" s="1"/>
  <c r="C17" i="6"/>
  <c r="O26" i="25"/>
  <c r="AW26" i="25" s="1"/>
  <c r="C26" i="4"/>
  <c r="C44" i="4" s="1"/>
  <c r="C45" i="4" s="1"/>
  <c r="A16" i="6"/>
  <c r="B33" i="11"/>
  <c r="O18" i="25"/>
  <c r="G6" i="2"/>
  <c r="B6" i="28" s="1"/>
  <c r="G5" i="2"/>
  <c r="B5" i="28" s="1"/>
  <c r="AH29" i="25"/>
  <c r="AX29" i="25" s="1"/>
  <c r="E7" i="2"/>
  <c r="F7" i="2" s="1"/>
  <c r="C48" i="5" l="1"/>
  <c r="C49" i="5" s="1"/>
  <c r="F22" i="4"/>
  <c r="B47" i="5" s="1"/>
  <c r="F8" i="2"/>
  <c r="C26" i="2"/>
  <c r="C29" i="2" s="1"/>
  <c r="B7" i="26" s="1"/>
  <c r="J22" i="35"/>
  <c r="B33" i="28"/>
  <c r="AH36" i="35"/>
  <c r="AH35" i="25"/>
  <c r="AX35" i="25" s="1"/>
  <c r="Z24" i="35"/>
  <c r="B11" i="27"/>
  <c r="C28" i="5" s="1"/>
  <c r="F32" i="11"/>
  <c r="G31" i="11" s="1"/>
  <c r="AW18" i="25"/>
  <c r="O20" i="25"/>
  <c r="AW20" i="25" s="1"/>
  <c r="D72" i="32"/>
  <c r="E72" i="32" s="1"/>
  <c r="O29" i="25"/>
  <c r="AW29" i="25" s="1"/>
  <c r="AW24" i="25"/>
  <c r="G30" i="11" l="1"/>
  <c r="B28" i="5" s="1"/>
  <c r="B19" i="11"/>
  <c r="B28" i="11" s="1"/>
  <c r="B35" i="11" s="1"/>
  <c r="B6" i="27" s="1"/>
  <c r="Z14" i="35"/>
  <c r="Z25" i="35" s="1"/>
  <c r="C15" i="24"/>
  <c r="J23" i="35"/>
  <c r="CL23" i="35" s="1"/>
  <c r="CL22" i="35"/>
  <c r="K10" i="35"/>
  <c r="B35" i="28" s="1"/>
  <c r="C17" i="5"/>
  <c r="C36" i="5" s="1"/>
  <c r="CN24" i="35"/>
  <c r="D73" i="32"/>
  <c r="E73" i="32" s="1"/>
  <c r="G8" i="2"/>
  <c r="O14" i="25" s="1"/>
  <c r="B36" i="28" s="1"/>
  <c r="O25" i="25"/>
  <c r="G32" i="11" l="1"/>
  <c r="CN14" i="35"/>
  <c r="Z16" i="35"/>
  <c r="CN16" i="35" s="1"/>
  <c r="Z26" i="35"/>
  <c r="CN26" i="35" s="1"/>
  <c r="CM10" i="35"/>
  <c r="CL10" i="35"/>
  <c r="CN25" i="35"/>
  <c r="Z28" i="35"/>
  <c r="D74" i="32"/>
  <c r="E74" i="32" s="1"/>
  <c r="AW14" i="25"/>
  <c r="AW25" i="25"/>
  <c r="O27" i="25"/>
  <c r="CN28" i="35" l="1"/>
  <c r="D75" i="32"/>
  <c r="E75" i="32" s="1"/>
  <c r="AW27" i="25"/>
  <c r="AO41" i="25"/>
  <c r="D76" i="32" l="1"/>
  <c r="E76" i="32" s="1"/>
  <c r="D77" i="32" l="1"/>
  <c r="E77" i="32" s="1"/>
  <c r="D78" i="32" l="1"/>
  <c r="E78" i="32" s="1"/>
  <c r="D79" i="32" l="1"/>
  <c r="E79" i="32" s="1"/>
  <c r="D80" i="32" l="1"/>
  <c r="E80" i="32" s="1"/>
  <c r="D81" i="32" l="1"/>
  <c r="E81" i="32" s="1"/>
  <c r="D82" i="32" l="1"/>
  <c r="E82" i="32" s="1"/>
  <c r="D83" i="32" l="1"/>
  <c r="E83" i="32" s="1"/>
  <c r="D84" i="32" l="1"/>
  <c r="E84" i="32" s="1"/>
  <c r="D85" i="32" l="1"/>
  <c r="E85" i="32" s="1"/>
  <c r="D86" i="32" l="1"/>
  <c r="E86" i="32" s="1"/>
  <c r="D87" i="32" l="1"/>
  <c r="E87" i="32" s="1"/>
  <c r="D88" i="32" l="1"/>
  <c r="E88" i="32" s="1"/>
  <c r="D89" i="32" l="1"/>
  <c r="E89" i="32" s="1"/>
  <c r="D90" i="32" l="1"/>
  <c r="E90" i="32" s="1"/>
  <c r="D91" i="32" l="1"/>
  <c r="E91" i="32" s="1"/>
  <c r="D92" i="32" l="1"/>
  <c r="E92" i="32" s="1"/>
  <c r="D93" i="32" l="1"/>
  <c r="E93" i="32" s="1"/>
  <c r="D94" i="32" l="1"/>
  <c r="E94" i="32" s="1"/>
  <c r="D95" i="32" l="1"/>
  <c r="E95" i="32" s="1"/>
  <c r="D96" i="32" l="1"/>
  <c r="E96" i="32" s="1"/>
  <c r="D97" i="32" l="1"/>
  <c r="E97" i="32" s="1"/>
  <c r="D98" i="32" l="1"/>
  <c r="E98" i="32" s="1"/>
  <c r="D99" i="32" l="1"/>
  <c r="E99" i="32" s="1"/>
  <c r="D100" i="32" l="1"/>
  <c r="E100" i="32" s="1"/>
  <c r="D101" i="32" l="1"/>
  <c r="E101" i="32" s="1"/>
  <c r="D102" i="32" l="1"/>
  <c r="E102" i="32" s="1"/>
  <c r="D103" i="32" l="1"/>
  <c r="E103" i="32" s="1"/>
  <c r="D104" i="32" l="1"/>
  <c r="E104" i="32" s="1"/>
  <c r="D105" i="32" l="1"/>
  <c r="E105" i="32" s="1"/>
  <c r="D106" i="32" l="1"/>
  <c r="E106" i="32" s="1"/>
  <c r="D28" i="5" l="1"/>
  <c r="O23" i="25"/>
  <c r="AW23" i="25" s="1"/>
  <c r="AW22" i="25"/>
  <c r="O31" i="25" l="1"/>
  <c r="AW30" i="25"/>
  <c r="O48" i="25"/>
  <c r="AW48" i="25" l="1"/>
  <c r="O34" i="25"/>
  <c r="AW34" i="25" s="1"/>
  <c r="AW31" i="25"/>
  <c r="CL36" i="35" l="1"/>
  <c r="CL40" i="35"/>
  <c r="CL37" i="35" l="1"/>
  <c r="N38" i="35"/>
  <c r="CL42" i="35" l="1"/>
  <c r="CM35" i="35"/>
  <c r="CL34" i="35" l="1"/>
  <c r="N35" i="35"/>
  <c r="CL35" i="35" s="1"/>
  <c r="CM34" i="35" l="1"/>
  <c r="CM36" i="35" l="1"/>
  <c r="CM38" i="35" l="1"/>
  <c r="CL39" i="35"/>
  <c r="CL38" i="35" l="1"/>
  <c r="AK39" i="35"/>
  <c r="CM39" i="35" l="1"/>
  <c r="CM42" i="35" l="1"/>
  <c r="C27" i="4" l="1"/>
  <c r="C29" i="4" l="1"/>
  <c r="J19" i="35" s="1"/>
  <c r="CL19" i="35" l="1"/>
  <c r="J20" i="35"/>
  <c r="CL20" i="35" s="1"/>
  <c r="C31" i="4"/>
  <c r="C47" i="4" s="1"/>
  <c r="F21" i="4"/>
  <c r="B46" i="5" s="1"/>
  <c r="B48" i="5" l="1"/>
  <c r="B49" i="5" s="1"/>
  <c r="F23" i="4"/>
  <c r="G22" i="4" s="1"/>
  <c r="O21" i="25" l="1"/>
  <c r="AW21" i="25" s="1"/>
  <c r="J24" i="35"/>
  <c r="G21" i="4"/>
  <c r="G23" i="4" s="1"/>
  <c r="C49" i="4"/>
  <c r="B5" i="27" s="1"/>
  <c r="B10" i="27"/>
  <c r="CL24" i="35" l="1"/>
  <c r="J28" i="35"/>
  <c r="CL28" i="35" s="1"/>
  <c r="P29" i="35"/>
  <c r="CM29" i="35" s="1"/>
  <c r="B9" i="27"/>
  <c r="B27" i="27" s="1"/>
  <c r="C26" i="5"/>
  <c r="C31" i="5" s="1"/>
  <c r="C16" i="24" s="1"/>
  <c r="B26" i="5"/>
  <c r="B29" i="27" l="1"/>
  <c r="D26" i="5"/>
  <c r="D31" i="5" s="1"/>
  <c r="C18" i="5" s="1"/>
  <c r="C19" i="5" s="1"/>
  <c r="AH14" i="25" l="1"/>
  <c r="AX14" i="25" s="1"/>
  <c r="AJ30" i="35"/>
  <c r="CO30" i="35" s="1"/>
  <c r="B9" i="34"/>
  <c r="C9" i="34" s="1"/>
  <c r="D9" i="34" s="1"/>
  <c r="C37" i="5"/>
  <c r="C38" i="5" s="1"/>
  <c r="AW54" i="25" l="1"/>
  <c r="B5" i="26"/>
  <c r="B8" i="26" s="1"/>
  <c r="B5" i="3"/>
  <c r="B7" i="3" s="1"/>
  <c r="AH27" i="25" l="1"/>
  <c r="N43" i="35"/>
  <c r="O35" i="25"/>
  <c r="AH12" i="35"/>
  <c r="B19" i="26"/>
  <c r="B7" i="27" s="1"/>
  <c r="B4" i="27" s="1"/>
  <c r="C7" i="3"/>
  <c r="AH16" i="35" l="1"/>
  <c r="CO16" i="35" s="1"/>
  <c r="AH26" i="35"/>
  <c r="CO26" i="35" s="1"/>
  <c r="AH25" i="35"/>
  <c r="CO12" i="35"/>
  <c r="O39" i="25"/>
  <c r="AW35" i="25"/>
  <c r="AH28" i="25"/>
  <c r="AX28" i="25" s="1"/>
  <c r="N46" i="35"/>
  <c r="CL46" i="35" s="1"/>
  <c r="E5" i="3"/>
  <c r="E7" i="3" s="1"/>
  <c r="E13" i="3" s="1"/>
  <c r="CL43" i="35"/>
  <c r="B14" i="27"/>
  <c r="B18" i="27"/>
  <c r="B21" i="27" s="1"/>
  <c r="AX27" i="25"/>
  <c r="B23" i="27" l="1"/>
  <c r="B25" i="27" s="1"/>
  <c r="B30" i="27" s="1"/>
  <c r="B31" i="27" s="1"/>
  <c r="C13" i="24"/>
  <c r="B4" i="34"/>
  <c r="C4" i="34" s="1"/>
  <c r="D4" i="34" s="1"/>
  <c r="B46" i="20"/>
  <c r="C39" i="5"/>
  <c r="C40" i="5" s="1"/>
  <c r="AH28" i="35"/>
  <c r="CO25" i="35"/>
  <c r="AH30" i="25"/>
  <c r="AX30" i="25" s="1"/>
  <c r="AH31" i="35"/>
  <c r="CM31" i="35" s="1"/>
  <c r="E14" i="3"/>
  <c r="E15" i="3" s="1"/>
  <c r="C14" i="24"/>
  <c r="AW39" i="25"/>
  <c r="O43" i="25"/>
  <c r="O47" i="25"/>
  <c r="O49" i="25" l="1"/>
  <c r="AW47" i="25"/>
  <c r="AH41" i="35"/>
  <c r="CM41" i="35" s="1"/>
  <c r="AH42" i="25"/>
  <c r="AX42" i="25" s="1"/>
  <c r="C39" i="20"/>
  <c r="B49" i="20"/>
  <c r="B51" i="20" s="1"/>
  <c r="B52" i="20" s="1"/>
  <c r="B53" i="20" s="1"/>
  <c r="B54" i="20" s="1"/>
  <c r="B55" i="20" s="1"/>
  <c r="CO28" i="35"/>
  <c r="G29" i="35"/>
  <c r="AW43" i="25"/>
  <c r="O46" i="25"/>
  <c r="AW46" i="25" s="1"/>
  <c r="C18" i="24"/>
  <c r="AH32" i="35" l="1"/>
  <c r="B90" i="20"/>
  <c r="B14" i="34" s="1"/>
  <c r="CL29" i="35"/>
  <c r="Y29" i="35"/>
  <c r="I36" i="20"/>
  <c r="J36" i="20" s="1"/>
  <c r="I31" i="20"/>
  <c r="J31" i="20" s="1"/>
  <c r="I35" i="20"/>
  <c r="J35" i="20" s="1"/>
  <c r="I33" i="20"/>
  <c r="J33" i="20" s="1"/>
  <c r="I30" i="20"/>
  <c r="I34" i="20"/>
  <c r="J34" i="20" s="1"/>
  <c r="I32" i="20"/>
  <c r="J32" i="20" s="1"/>
  <c r="AW49" i="25"/>
  <c r="O53" i="25"/>
  <c r="AW53" i="25" s="1"/>
  <c r="J30" i="20" l="1"/>
  <c r="J37" i="20" s="1"/>
  <c r="I37" i="20"/>
  <c r="C14" i="34"/>
  <c r="D14" i="34" s="1"/>
  <c r="B20" i="34"/>
  <c r="B23" i="34" s="1"/>
  <c r="CN29" i="35"/>
  <c r="Y30" i="35"/>
  <c r="CN30" i="35" s="1"/>
  <c r="CM32" i="35"/>
  <c r="AH37" i="35"/>
  <c r="D17" i="34" l="1"/>
  <c r="D22" i="34" s="1"/>
  <c r="D26" i="34"/>
  <c r="D20" i="34"/>
  <c r="D23" i="34" s="1"/>
  <c r="D18" i="34"/>
  <c r="D21" i="34" s="1"/>
  <c r="C40" i="20"/>
  <c r="AH31" i="25" s="1"/>
  <c r="D39" i="20"/>
  <c r="AH40" i="35"/>
  <c r="CM37" i="35"/>
  <c r="AH43" i="35" l="1"/>
  <c r="CM40" i="35"/>
  <c r="C6" i="6"/>
  <c r="C20" i="24"/>
  <c r="C21" i="24" s="1"/>
  <c r="AH36" i="25"/>
  <c r="AX31" i="25"/>
  <c r="C7" i="6" l="1"/>
  <c r="C9" i="6" s="1"/>
  <c r="C13" i="6"/>
  <c r="C14" i="6" s="1"/>
  <c r="C15" i="6" s="1"/>
  <c r="C16" i="6" s="1"/>
  <c r="C18" i="6" s="1"/>
  <c r="AH41" i="25"/>
  <c r="AX36" i="25"/>
  <c r="CM43" i="35"/>
  <c r="AX41" i="25" l="1"/>
  <c r="AH44" i="25"/>
  <c r="C20" i="6"/>
  <c r="AH47" i="35" l="1"/>
  <c r="AH48" i="25"/>
  <c r="AX48" i="25" s="1"/>
  <c r="AX44" i="25"/>
  <c r="AH49" i="25" l="1"/>
  <c r="CM47" i="35"/>
  <c r="CM55" i="35" s="1"/>
  <c r="Z48" i="35"/>
  <c r="AJ48" i="35"/>
  <c r="CO48" i="35" s="1"/>
  <c r="CO55" i="35" s="1"/>
  <c r="F48" i="35"/>
  <c r="CL48" i="35" s="1"/>
  <c r="CL55" i="35" s="1"/>
  <c r="CN48" i="35" l="1"/>
  <c r="B22" i="10"/>
  <c r="B21" i="10" s="1"/>
  <c r="D15" i="10" s="1"/>
  <c r="D17" i="10" s="1"/>
  <c r="AH51" i="25"/>
  <c r="AX49" i="25"/>
  <c r="AG55" i="25" l="1"/>
  <c r="AX51" i="25"/>
  <c r="AX54" i="25" s="1"/>
  <c r="AY54" i="25" s="1"/>
  <c r="O15" i="25"/>
  <c r="C4" i="24"/>
  <c r="C7" i="24" s="1"/>
  <c r="C11" i="24" s="1"/>
  <c r="C22" i="24" s="1"/>
  <c r="V10" i="35"/>
  <c r="AH10" i="35" s="1"/>
  <c r="CN10" i="35" s="1"/>
  <c r="CN55" i="35" s="1"/>
  <c r="CQ55" i="35" s="1"/>
  <c r="O16" i="25" l="1"/>
  <c r="AW16" i="25" s="1"/>
  <c r="AW1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tc={4507CAEC-36EE-40A3-AC18-9A42526F1A14}</author>
  </authors>
  <commentList>
    <comment ref="D97" authorId="0" shapeId="0" xr:uid="{4507CAEC-36EE-40A3-AC18-9A42526F1A14}">
      <text>
        <t>[Comentario encadenado]
Su versión de Excel le permite leer este comentario encadenado; sin embargo, las ediciones que se apliquen se quitarán si el archivo se abre en una versión más reciente de Excel. Más información: https://go.microsoft.com/fwlink/?linkid=870924
Comentario:
    Sin limite</t>
      </text>
    </comment>
  </commentList>
</comments>
</file>

<file path=xl/sharedStrings.xml><?xml version="1.0" encoding="utf-8"?>
<sst xmlns="http://schemas.openxmlformats.org/spreadsheetml/2006/main" count="989" uniqueCount="755">
  <si>
    <t>210</t>
  </si>
  <si>
    <t>1. Año</t>
  </si>
  <si>
    <t>5.Número de Identificación Tributaria (NIT):</t>
  </si>
  <si>
    <t>6. DV</t>
  </si>
  <si>
    <t>Patrimonio</t>
  </si>
  <si>
    <t>Deudas</t>
  </si>
  <si>
    <t>Sanciones</t>
  </si>
  <si>
    <t>7. Primer Apellido</t>
  </si>
  <si>
    <t>8. Segundo Apellido</t>
  </si>
  <si>
    <t>9. Primer Nombre</t>
  </si>
  <si>
    <t xml:space="preserve"> 981. Cód. Representación</t>
  </si>
  <si>
    <t>Cantidad</t>
  </si>
  <si>
    <t>%</t>
  </si>
  <si>
    <t>Menos:</t>
  </si>
  <si>
    <t>Datos del Declarante</t>
  </si>
  <si>
    <t>24. Actividad Económica</t>
  </si>
  <si>
    <t>Renta presuntiva</t>
  </si>
  <si>
    <t>Privada</t>
  </si>
  <si>
    <t>10.Otros Nombres</t>
  </si>
  <si>
    <t xml:space="preserve"> Firma del Declarante o de quien lo Representante: </t>
  </si>
  <si>
    <t xml:space="preserve">       4. Número de formulario      </t>
  </si>
  <si>
    <t>26. No. Formulario anterior</t>
  </si>
  <si>
    <t xml:space="preserve"> 980. Pago Total </t>
  </si>
  <si>
    <t>Descuentos</t>
  </si>
  <si>
    <t>Otros</t>
  </si>
  <si>
    <t>Liquidación privada</t>
  </si>
  <si>
    <t xml:space="preserve">996. Espacio para el numero interno de la DIAN /adhesivo                                                                                                    </t>
  </si>
  <si>
    <t>Costos por ganancias ocasionales</t>
  </si>
  <si>
    <t>Impuesto de ganancias ocasionales</t>
  </si>
  <si>
    <t>Ingresos brutos por rentas de trabajo (Art. 103 E:T:)</t>
  </si>
  <si>
    <t>Ingresos no constitutivos de renta</t>
  </si>
  <si>
    <t>Rentas exentas de trabajo y deducciones imputables (limitadas)</t>
  </si>
  <si>
    <t>Rentas de trabajo</t>
  </si>
  <si>
    <t>Rentas exentas de pensiones</t>
  </si>
  <si>
    <t>Costos y gastos procedentes</t>
  </si>
  <si>
    <t>Rentas exentas y deducciones imputables a las rentas de capital</t>
  </si>
  <si>
    <t>Rentas de capital</t>
  </si>
  <si>
    <t>Devoluciones, rebajas y descuentos</t>
  </si>
  <si>
    <t>Rentas exentas y deducciones imputables a las rentas no laborales</t>
  </si>
  <si>
    <t>Rentas no laborales</t>
  </si>
  <si>
    <t>Ganancias ocasionales no gravadas y exentas</t>
  </si>
  <si>
    <t>Impuestos pagados en el exterior</t>
  </si>
  <si>
    <t>Donaciones</t>
  </si>
  <si>
    <t>Descuento por impuestos pagados en el exterior por ganancias ocasionales</t>
  </si>
  <si>
    <t>Anticipo renta liquidado año gravable anterior</t>
  </si>
  <si>
    <t>Saldo a favor del año gravable anterior sin solicitud de devolución y/o compensación</t>
  </si>
  <si>
    <t>Retenciones año gravable a declarar</t>
  </si>
  <si>
    <t>Anticipo de renta para el año gravable siguiente</t>
  </si>
  <si>
    <t>Detalle</t>
  </si>
  <si>
    <t>No gravadas y Exentas</t>
  </si>
  <si>
    <t>Utilidad en Venta</t>
  </si>
  <si>
    <t>Impuesto a la Ganancia Ocasional 10%</t>
  </si>
  <si>
    <t>Ingresos brutos rentas no laborales</t>
  </si>
  <si>
    <t>Rentas liquidas pasivas de capital - ECE</t>
  </si>
  <si>
    <t>Rentas liquidas pasivas no laborales - ECE</t>
  </si>
  <si>
    <t>Renglón 32</t>
  </si>
  <si>
    <t>Renglón 35</t>
  </si>
  <si>
    <t>Total Impuesto a la Ganancia Ocasional</t>
  </si>
  <si>
    <t>Renglón 77</t>
  </si>
  <si>
    <t>Renglón 78</t>
  </si>
  <si>
    <t>Cuenta 101125</t>
  </si>
  <si>
    <t>Cuenta 20152656</t>
  </si>
  <si>
    <t>Cuenta 425662</t>
  </si>
  <si>
    <t>Ajustes</t>
  </si>
  <si>
    <t>Datos de la compra</t>
  </si>
  <si>
    <t>Inversiones</t>
  </si>
  <si>
    <t>Identificación</t>
  </si>
  <si>
    <t>Cuentas por cobrar</t>
  </si>
  <si>
    <t>Fecha del préstamo</t>
  </si>
  <si>
    <t>Fecha de vencimiento</t>
  </si>
  <si>
    <t>Valor en USD</t>
  </si>
  <si>
    <t>TRM en la fecha de transacción</t>
  </si>
  <si>
    <t xml:space="preserve"> </t>
  </si>
  <si>
    <t>Descripción</t>
  </si>
  <si>
    <t>Valorización nominal para la justificación patrimonial</t>
  </si>
  <si>
    <t>TOTALES</t>
  </si>
  <si>
    <t>Valor patrimonial</t>
  </si>
  <si>
    <t>Fecha original</t>
  </si>
  <si>
    <t>Vencimiento</t>
  </si>
  <si>
    <t xml:space="preserve">Menos ingresos no constitutivos de renta </t>
  </si>
  <si>
    <t>Aportes de salud como empleado</t>
  </si>
  <si>
    <t>Aportes de pensión como empleado</t>
  </si>
  <si>
    <t>Aportes de pensión como trabajador independiente</t>
  </si>
  <si>
    <t xml:space="preserve">Total ingresos no constitutivos de renta </t>
  </si>
  <si>
    <t>Total ingresos netos</t>
  </si>
  <si>
    <t>Total costos y gastos procedentes</t>
  </si>
  <si>
    <t>Total renta líquida</t>
  </si>
  <si>
    <t>Menos rentas exentas y deducciones imputables, con límite del 40%</t>
  </si>
  <si>
    <t>Aportes voluntarios a los fondos de pensiones voluntarias</t>
  </si>
  <si>
    <t>Dependientes 10% del ingreso o 384 UVT</t>
  </si>
  <si>
    <t xml:space="preserve">Gravamen a los movimiento financieros </t>
  </si>
  <si>
    <t>Base para calcular la renta exenta del 25%</t>
  </si>
  <si>
    <t>Renta exenta 25% (límite 240 UVT mensuales)</t>
  </si>
  <si>
    <t>Subtotal</t>
  </si>
  <si>
    <t>Renglón 36</t>
  </si>
  <si>
    <t>Valores</t>
  </si>
  <si>
    <t>Notas</t>
  </si>
  <si>
    <t>Intereses presuntos por préstamos a sociedades</t>
  </si>
  <si>
    <t>Impuesto predial sobre bienes arrendados</t>
  </si>
  <si>
    <t>Arrendamiento apartamento Bogotá</t>
  </si>
  <si>
    <t>Cuotas de administración de bienes arrendados</t>
  </si>
  <si>
    <t>Constructora LVG</t>
  </si>
  <si>
    <t>Patrimonio líquido año anterior</t>
  </si>
  <si>
    <t>Patrimonio bruto año anterior</t>
  </si>
  <si>
    <t>Patrimonio líquido base de calculo</t>
  </si>
  <si>
    <t>Subtotal renta presuntiva</t>
  </si>
  <si>
    <t>Hasta tope</t>
  </si>
  <si>
    <t>Aplicación de la rentas exentas a la renta presuntiva</t>
  </si>
  <si>
    <t xml:space="preserve">Recuperación de deducciones </t>
  </si>
  <si>
    <t>Impuesto Neto de Renta del año actual</t>
  </si>
  <si>
    <t>Menos: Retenciones en la fuente</t>
  </si>
  <si>
    <t>Impuesto Neto de Renta año anterior</t>
  </si>
  <si>
    <t>Impuesto Neto de Renta del año gravable</t>
  </si>
  <si>
    <t>Promedio</t>
  </si>
  <si>
    <t xml:space="preserve">Menos: Retenciones en la fuente </t>
  </si>
  <si>
    <t>Opción 1</t>
  </si>
  <si>
    <t>Anticipo opción 1</t>
  </si>
  <si>
    <t>Anticipo opción 2</t>
  </si>
  <si>
    <t>Opción 2</t>
  </si>
  <si>
    <t>Valor del anticipo año siguiente</t>
  </si>
  <si>
    <t>Art. 236, 237 y 238 ET</t>
  </si>
  <si>
    <t>Incremento (Disminución) Patrimonial</t>
  </si>
  <si>
    <t>Menos (Más) :</t>
  </si>
  <si>
    <t>SE JUSTIFICA CON:</t>
  </si>
  <si>
    <t>Renta Gravable</t>
  </si>
  <si>
    <t>Ganancia Ocasional</t>
  </si>
  <si>
    <t>Ingresos no Constitutivos de Renta ni de Ganancia Ocasional</t>
  </si>
  <si>
    <t>Rentas Exentas limitadas</t>
  </si>
  <si>
    <t>Amortización Exceso Renta Presuntiva sobre Renta Liquida y comp. De pérdidas</t>
  </si>
  <si>
    <t>Total Justificado</t>
  </si>
  <si>
    <t>Diferencia a Justificar</t>
  </si>
  <si>
    <t>Avalúo catastral</t>
  </si>
  <si>
    <t>Proporcionalidad de las rentas exentas</t>
  </si>
  <si>
    <t>Rentas Exentas</t>
  </si>
  <si>
    <t>Deducciones</t>
  </si>
  <si>
    <t>Total</t>
  </si>
  <si>
    <t xml:space="preserve">Valorizaciones nominales </t>
  </si>
  <si>
    <t>Diferencia patrimonial a justificar</t>
  </si>
  <si>
    <t>Total justificación patrimonial</t>
  </si>
  <si>
    <t>983. N. tarjeta profesional</t>
  </si>
  <si>
    <t>994. Con salvedades</t>
  </si>
  <si>
    <t>Firma contador</t>
  </si>
  <si>
    <t>982. Cod. Contador</t>
  </si>
  <si>
    <t>997. Espacio exclusivo para el sello de la entidad recaudadora</t>
  </si>
  <si>
    <t/>
  </si>
  <si>
    <r>
      <t>108.</t>
    </r>
    <r>
      <rPr>
        <sz val="6"/>
        <rFont val="Arial"/>
        <family val="2"/>
      </rPr>
      <t xml:space="preserve"> DV</t>
    </r>
  </si>
  <si>
    <t>107 N. identificación signatario</t>
  </si>
  <si>
    <r>
      <t xml:space="preserve">Renta líquida gravable cédula general                                  </t>
    </r>
    <r>
      <rPr>
        <sz val="7.5"/>
        <rFont val="Arial"/>
        <family val="2"/>
      </rPr>
      <t>(63+66-64-65)</t>
    </r>
  </si>
  <si>
    <r>
      <t xml:space="preserve">Total saldo a favor                                                                        </t>
    </r>
    <r>
      <rPr>
        <sz val="7.5"/>
        <rFont val="Arial"/>
        <family val="2"/>
      </rPr>
      <t xml:space="preserve">  (99 + 100 + 101 - 98 -102 - 104)</t>
    </r>
  </si>
  <si>
    <t>Rentas gravables</t>
  </si>
  <si>
    <r>
      <t xml:space="preserve">Total saldo a pagar                                                                    </t>
    </r>
    <r>
      <rPr>
        <sz val="7.5"/>
        <rFont val="Arial"/>
        <family val="2"/>
      </rPr>
      <t>(98 + 102 + 104 - 99 - 100 - 101)</t>
    </r>
  </si>
  <si>
    <t>Compensaciones por exceso de renta presuntiva</t>
  </si>
  <si>
    <t>Compensaciónes por pérdidas año gravable 2016 y anteriores</t>
  </si>
  <si>
    <r>
      <t xml:space="preserve">Saldo a pagar por impuesto                                                                             </t>
    </r>
    <r>
      <rPr>
        <sz val="7.5"/>
        <rFont val="Arial"/>
        <family val="2"/>
      </rPr>
      <t xml:space="preserve"> (98 + 102 - 99 - 100 - 101)</t>
    </r>
  </si>
  <si>
    <t>Renta exenta y deducciones imputables limitadas         (36+ 44 + 56)</t>
  </si>
  <si>
    <t>Renta líquida cédula general (Ver Instructivo)</t>
  </si>
  <si>
    <r>
      <t xml:space="preserve">Rentas liquidas no laboral </t>
    </r>
    <r>
      <rPr>
        <sz val="7.5"/>
        <rFont val="Arial"/>
        <family val="2"/>
      </rPr>
      <t>(57-59)</t>
    </r>
  </si>
  <si>
    <t>Compensaciones por pérdidas rentas no laborales</t>
  </si>
  <si>
    <t>Total impuesto a cargo (95 + 96 - 97)</t>
  </si>
  <si>
    <r>
      <t xml:space="preserve">Perdida liquida del ejercicio                                                                           </t>
    </r>
    <r>
      <rPr>
        <sz val="7.5"/>
        <rFont val="Arial"/>
        <family val="2"/>
      </rPr>
      <t>(50+51+52-49-54)</t>
    </r>
  </si>
  <si>
    <r>
      <t xml:space="preserve">Renta liquida ordinaria del ejercicio                            </t>
    </r>
    <r>
      <rPr>
        <sz val="7.5"/>
        <rFont val="Arial"/>
        <family val="2"/>
      </rPr>
      <t>(49+54-50-51-52-56)</t>
    </r>
  </si>
  <si>
    <r>
      <t>Rentas exentas y deducciones imputables</t>
    </r>
    <r>
      <rPr>
        <sz val="7.5"/>
        <rFont val="Arial"/>
        <family val="2"/>
      </rPr>
      <t xml:space="preserve"> (limitadas)</t>
    </r>
  </si>
  <si>
    <r>
      <t xml:space="preserve">Impuesto neto de renta </t>
    </r>
    <r>
      <rPr>
        <sz val="7.5"/>
        <rFont val="Arial"/>
        <family val="2"/>
      </rPr>
      <t>(90-94)</t>
    </r>
  </si>
  <si>
    <t>Total descuentos tributarios (sume 91 a 93)</t>
  </si>
  <si>
    <t>Renta liquida (49-50-51-52)</t>
  </si>
  <si>
    <t>Total impuesto sobre las rentas liquidas gravables (sume 85 a 89)</t>
  </si>
  <si>
    <t>Renta liquida  de capital (45-47)</t>
  </si>
  <si>
    <t>Por dividendos y participaciones año 2016                                    (base casilla 76)</t>
  </si>
  <si>
    <t>Compensacion por perdidas rentas de capital</t>
  </si>
  <si>
    <t>o Renta presuntiva y de pensiones                                            (base casilla 68 + 73)</t>
  </si>
  <si>
    <r>
      <t xml:space="preserve">Perdida liquida del ejercicio                                       </t>
    </r>
    <r>
      <rPr>
        <sz val="7.5"/>
        <rFont val="Arial"/>
        <family val="2"/>
      </rPr>
      <t>(39+40-38-42)</t>
    </r>
  </si>
  <si>
    <t>General y de pensiones                                                                (base casilla 67+73)</t>
  </si>
  <si>
    <t>Impuesto sobre las rentas liquidas gravables</t>
  </si>
  <si>
    <r>
      <t xml:space="preserve">Renta liquida ordinaria del ejercicio                      </t>
    </r>
    <r>
      <rPr>
        <sz val="7.5"/>
        <rFont val="Arial"/>
        <family val="2"/>
      </rPr>
      <t xml:space="preserve">   (38+42-39-40-44). </t>
    </r>
  </si>
  <si>
    <r>
      <t xml:space="preserve">Ganancias ocasionales gravables </t>
    </r>
    <r>
      <rPr>
        <sz val="7.5"/>
        <rFont val="Arial"/>
        <family val="2"/>
      </rPr>
      <t>(81-82-83)</t>
    </r>
  </si>
  <si>
    <r>
      <t>Rentas exentas  y deducciones imputables</t>
    </r>
    <r>
      <rPr>
        <sz val="7.5"/>
        <rFont val="Arial"/>
        <family val="2"/>
      </rPr>
      <t xml:space="preserve"> (limitadas)</t>
    </r>
  </si>
  <si>
    <t>Ingresos por ganancias ocasionales del pais y del exterior</t>
  </si>
  <si>
    <t>Ganancias              ocasionales</t>
  </si>
  <si>
    <t>Renta liquida (38-39-40)</t>
  </si>
  <si>
    <t>Rentas exentas de la casilla 79</t>
  </si>
  <si>
    <t>Costos y deducciones procedentes</t>
  </si>
  <si>
    <t>Renta liquida pasiva dividendos -  ECE                                     y/o recibidos del exterior</t>
  </si>
  <si>
    <t>Ingresos brutos por rentas de capital</t>
  </si>
  <si>
    <t>Renta liquida de trabajo (34 - 36)</t>
  </si>
  <si>
    <r>
      <t xml:space="preserve">Renta liquida ordinaria año 2016 y anteriores                                                 </t>
    </r>
    <r>
      <rPr>
        <sz val="7.5"/>
        <rFont val="Arial"/>
        <family val="2"/>
      </rPr>
      <t>(74-75)</t>
    </r>
  </si>
  <si>
    <t>Rentas exentas de trabajo y deducciones imputables a las rentas de trabajo</t>
  </si>
  <si>
    <t>Dividendos y participaciones 2016 y anteriores,  y otros</t>
  </si>
  <si>
    <t>Rentas por dividendos                               y participaciones</t>
  </si>
  <si>
    <t>Renta Liquida (31- 32 - 33)</t>
  </si>
  <si>
    <r>
      <t xml:space="preserve">Costos y deducciones procedentes                             </t>
    </r>
    <r>
      <rPr>
        <sz val="7"/>
        <rFont val="Arial"/>
        <family val="2"/>
      </rPr>
      <t xml:space="preserve"> (Trabajadores por cuenta propia)</t>
    </r>
  </si>
  <si>
    <r>
      <t>Renta liquida</t>
    </r>
    <r>
      <rPr>
        <sz val="7.5"/>
        <rFont val="Arial"/>
        <family val="2"/>
      </rPr>
      <t xml:space="preserve"> (69-70)</t>
    </r>
  </si>
  <si>
    <t>Cédula general</t>
  </si>
  <si>
    <t>Total patrimonio líquido (28-29)</t>
  </si>
  <si>
    <t>Ingresos brutos por rentas de pensiones                                                       del pais y del exterior</t>
  </si>
  <si>
    <t>Cédula                                         de pensiones</t>
  </si>
  <si>
    <t>Patrimonio bruto</t>
  </si>
  <si>
    <t>27 Si es beneficiario de un convenio  para evitar la doble tributación (Marque "X")</t>
  </si>
  <si>
    <t>25. Cód</t>
  </si>
  <si>
    <t xml:space="preserve">Si es una correccion indique:    </t>
  </si>
  <si>
    <t>010</t>
  </si>
  <si>
    <t>12. Cód dirección seccional</t>
  </si>
  <si>
    <t>111. Fraccion de año 2020</t>
  </si>
  <si>
    <t>Declaración de Renta y Complementarios Personas Naturales y Asimiladas de Residentes y Sucesiones Iliquidas de Causantes Residentes</t>
  </si>
  <si>
    <t xml:space="preserve">   DIAN</t>
  </si>
  <si>
    <t>XXXXXXX</t>
  </si>
  <si>
    <t>XXXXX</t>
  </si>
  <si>
    <t>XXXX</t>
  </si>
  <si>
    <t>Anexo 1 Efectivo mantenido por el contribuyente</t>
  </si>
  <si>
    <t>Efectivo mantenido en caja</t>
  </si>
  <si>
    <t>Moneda extranjera USD</t>
  </si>
  <si>
    <t>Relación</t>
  </si>
  <si>
    <t>Puntos a considerar</t>
  </si>
  <si>
    <t xml:space="preserve">Saldo extracto </t>
  </si>
  <si>
    <t>Tasa de cambio</t>
  </si>
  <si>
    <t>Valor en pesos $</t>
  </si>
  <si>
    <t>Fondo de Pensiones Voluntarias</t>
  </si>
  <si>
    <t xml:space="preserve">Debe declarar el saldo en los fondos de pensiones voluntarias </t>
  </si>
  <si>
    <t>No se declara como activo el saldo en el fondo de pensiones obligatorias</t>
  </si>
  <si>
    <t>Los valores mantenidos en fondos de cesantías por aportes realizados a partir de enero 1 de 2017 hacen parte del patrimonio del contribuyente, lo mismo que el auxilio de cesantía del régimen tradicional del Código Sustantivo del Trabajo, contenido en el Capítulo VII, Título VIII, parte primera, y demás disposiciones que lo modifiquen o adicionen, se entenderá realizado con ocasión del reconocimiento por parte del empleador y por tanto se debe declarar como patrimonio ese saldo que corresponda a las cesantías de 2017 y siguientes.</t>
  </si>
  <si>
    <t>Las acciones de entidades del exterior, se declaran por su valor de compra en moneda extranjera, utilizando la TRM del día de la transacción, o utilizando el valor en pesos de los dólares adquiridos para girar al exterior al momento de la compra. Dichas acciones no se someten a diferencia en cambio (para el ejemplo, se midieron a la fecha de la transacción).</t>
  </si>
  <si>
    <t xml:space="preserve">Total </t>
  </si>
  <si>
    <t>No aplica</t>
  </si>
  <si>
    <t>Saldo</t>
  </si>
  <si>
    <t>Interés presuntivo</t>
  </si>
  <si>
    <t>Vehículo personal KIA modelo 2016</t>
  </si>
  <si>
    <t>% de participación</t>
  </si>
  <si>
    <t>Total Ingresos rentas de trabajo</t>
  </si>
  <si>
    <t>Datos</t>
  </si>
  <si>
    <t>UVT</t>
  </si>
  <si>
    <t>Certificado</t>
  </si>
  <si>
    <t>Intereses cuentas de ahorro</t>
  </si>
  <si>
    <t>Renglón 38</t>
  </si>
  <si>
    <t>Renglón 39</t>
  </si>
  <si>
    <t>Renglón 40</t>
  </si>
  <si>
    <t>Renglón 41</t>
  </si>
  <si>
    <t>Total renta (pérdida) líquida</t>
  </si>
  <si>
    <t>Renglón 58</t>
  </si>
  <si>
    <t>Proporción de las rentas exentas</t>
  </si>
  <si>
    <t>Tipo de renta</t>
  </si>
  <si>
    <t>Valor a disminuir renta presuntiva</t>
  </si>
  <si>
    <t>Rentas exentas y deducciones imputables limitadas</t>
  </si>
  <si>
    <t>Rentas exentas proporcionales</t>
  </si>
  <si>
    <t>1. Rentas de Trabajo</t>
  </si>
  <si>
    <t>2. Renta de Pensiones</t>
  </si>
  <si>
    <t>3. Rentas de Capital</t>
  </si>
  <si>
    <t>5. Dividendos y Participaciones</t>
  </si>
  <si>
    <t>4. Rentas No Laborales</t>
  </si>
  <si>
    <t>Total rentas exentas a disminuir de la renta presuntiva</t>
  </si>
  <si>
    <t xml:space="preserve">Rentas exentas proporcionales admisibles para calcular la renta presuntiva </t>
  </si>
  <si>
    <t>Mayor valor entre la renta presuntiva y la renta líquida cedular</t>
  </si>
  <si>
    <t>Renglón 74</t>
  </si>
  <si>
    <t>Dividendos y participaciones año 2017 y siguientes (según certificado como no gravados)</t>
  </si>
  <si>
    <t>Dividendos y participaciones año 2017 y siguientes (según certificado como gravados)</t>
  </si>
  <si>
    <t>1a subcédula año 2017 y siguientes numeral 3 art- 49 ET</t>
  </si>
  <si>
    <t xml:space="preserve"> Base gravable en UVT </t>
  </si>
  <si>
    <t xml:space="preserve">Base gravable Menos 300 UVT </t>
  </si>
  <si>
    <t xml:space="preserve"> Multiplicado x valor UVT del año </t>
  </si>
  <si>
    <t>2a subcédula año 2017 y siguientes Parágrafo 2 art- 49 ET</t>
  </si>
  <si>
    <t>Saldo para aplicar tabla</t>
  </si>
  <si>
    <t>Subtotal 2 impuesto tabla</t>
  </si>
  <si>
    <t>Total impuesto 2a subcédula año 2017 y siguientes</t>
  </si>
  <si>
    <t xml:space="preserve"> Base gravable Menos 300 UVT </t>
  </si>
  <si>
    <t>Rangos en UVT</t>
  </si>
  <si>
    <t>Tarifa marginal</t>
  </si>
  <si>
    <t>Impuesto</t>
  </si>
  <si>
    <t>Desde</t>
  </si>
  <si>
    <t>Hasta</t>
  </si>
  <si>
    <t>(Renta gravable expresada en UVT menos 1.090 UVT) * 19%</t>
  </si>
  <si>
    <t>(Renta gravable  expresada en UVT menos 1.700 UVT) * 28% + 116 UVT</t>
  </si>
  <si>
    <t>(Renta gravable expresada en UVT menos 4.100 UVT) * 33% + 788 UVT</t>
  </si>
  <si>
    <t>(Renta gravable expresada en UVT menos 8.670 UVT) * 35% + 2.296 UVT</t>
  </si>
  <si>
    <t>(Renta gravable expresada en UVT menos 18.970 UVT) * 37% + 5.901 UVT</t>
  </si>
  <si>
    <t>En adelante</t>
  </si>
  <si>
    <t>(Renta gravable expresada en UVT menos 31.000 UVT) * 39% + 10.352 UVT</t>
  </si>
  <si>
    <t>Rangos en Pesos</t>
  </si>
  <si>
    <t>Base impuesto</t>
  </si>
  <si>
    <t>Sin GO</t>
  </si>
  <si>
    <t>Patrimonio líquido año actual</t>
  </si>
  <si>
    <t>Normalización de activos omitidos y/o pasivos inexistentes</t>
  </si>
  <si>
    <t>Gasto Impuesto de Renta año gravable</t>
  </si>
  <si>
    <t>Aportes de salud y ARL como trabajador independiente</t>
  </si>
  <si>
    <t>Impuesto de industria y comercio</t>
  </si>
  <si>
    <t>% Valor Patrimonial Neto</t>
  </si>
  <si>
    <t>Ganancia ocasional diferente de rifas</t>
  </si>
  <si>
    <t xml:space="preserve">Cesantías </t>
  </si>
  <si>
    <t>Valor a declarar</t>
  </si>
  <si>
    <t>Saldo en Banco Nacional Cuenta Corriente</t>
  </si>
  <si>
    <t>Saldo en Banco Nacional Cuenta de Ahorros</t>
  </si>
  <si>
    <t xml:space="preserve">Saldo Banco Miami </t>
  </si>
  <si>
    <t>Banco</t>
  </si>
  <si>
    <t>Valor contable</t>
  </si>
  <si>
    <t>TRM efectos fiscales</t>
  </si>
  <si>
    <t>Valor fiscal</t>
  </si>
  <si>
    <t>Se tomarán las últimas transacciones para calcular dicho valor patrimonial.</t>
  </si>
  <si>
    <t>Movimientos</t>
  </si>
  <si>
    <t>Valor para el cálculo fiscal</t>
  </si>
  <si>
    <t>Varios</t>
  </si>
  <si>
    <t>Anexo 2 Inversiones en instrumentos de patrimonio que cotizan en bolsa</t>
  </si>
  <si>
    <t>Acciones Argos SA</t>
  </si>
  <si>
    <t>Acciones Nutresa SA</t>
  </si>
  <si>
    <t>Datos al cierre</t>
  </si>
  <si>
    <t>Vr de mercado</t>
  </si>
  <si>
    <t>Unitario</t>
  </si>
  <si>
    <t>Acciones ISA SA</t>
  </si>
  <si>
    <t>Costo histórico</t>
  </si>
  <si>
    <t>Patrimonio Autónomo Los Sauces 2508</t>
  </si>
  <si>
    <t>Fiduciaria LVG SA</t>
  </si>
  <si>
    <t>Información del patrimonio autónomo</t>
  </si>
  <si>
    <t xml:space="preserve">Rubro </t>
  </si>
  <si>
    <t>Valor total</t>
  </si>
  <si>
    <t>Propiedades de inversión al costo</t>
  </si>
  <si>
    <t>Ajuste de propiedad de inversión al valor razonable</t>
  </si>
  <si>
    <t>Saldo en entidades financieras</t>
  </si>
  <si>
    <t>Préstamo entidades financieras</t>
  </si>
  <si>
    <t>Ingresos por arrendamientos</t>
  </si>
  <si>
    <t>Gastos por impuesto predial</t>
  </si>
  <si>
    <t>Gastos por mantenimiento</t>
  </si>
  <si>
    <t>Gastos por administración</t>
  </si>
  <si>
    <t xml:space="preserve">Gastos financieros </t>
  </si>
  <si>
    <t>Gastos bancarios</t>
  </si>
  <si>
    <t>Gastos x GMF</t>
  </si>
  <si>
    <t>Anexo 3 Inversiones en Asociadas, Negocios Conjuntos y Subsidiarias</t>
  </si>
  <si>
    <t>Inversiones LVG SAS</t>
  </si>
  <si>
    <t>Industrias LVG SAS</t>
  </si>
  <si>
    <t>Costo de adquisición</t>
  </si>
  <si>
    <t>Enero 7 de 2010</t>
  </si>
  <si>
    <t>Agosto 4 de 2018</t>
  </si>
  <si>
    <t>1955 y anteriores</t>
  </si>
  <si>
    <t>Diciembre 20 de 2005</t>
  </si>
  <si>
    <t>Concesiones FCC SA</t>
  </si>
  <si>
    <t>Fecha de adquisición</t>
  </si>
  <si>
    <t>Reajuste</t>
  </si>
  <si>
    <t>Reajuste art. 70 E.T.</t>
  </si>
  <si>
    <t>Reajuste art. 73 E.T.</t>
  </si>
  <si>
    <t>Anexo 4 Otras inversiones</t>
  </si>
  <si>
    <t>Bonos Ordinarios Promigas</t>
  </si>
  <si>
    <t>Bonos Deuda Pública EPM</t>
  </si>
  <si>
    <t>Precio de adquisición en pesos $</t>
  </si>
  <si>
    <t>Inversiones que cotizan en bolsa</t>
  </si>
  <si>
    <t>Aportes en fondos y CDT</t>
  </si>
  <si>
    <t>Anexo 5 Aportes en fondos de pensiones voluntarias, fondos de pensiones obligatorias, fondos de cesantías y CDT</t>
  </si>
  <si>
    <t>Valor certificado total</t>
  </si>
  <si>
    <t>Participación del fideicomitente 20% (fiscal)</t>
  </si>
  <si>
    <t>50% deducible</t>
  </si>
  <si>
    <t>No tiene efecto fiscal</t>
  </si>
  <si>
    <t>Anexo 6 Derechos fiduciarios</t>
  </si>
  <si>
    <t>Anexo 7 Cuentas por cobrar a clientes</t>
  </si>
  <si>
    <t>Provisión general</t>
  </si>
  <si>
    <t>90 a 180 días</t>
  </si>
  <si>
    <t>181 a 360 días</t>
  </si>
  <si>
    <t>361 a 720 días</t>
  </si>
  <si>
    <t>721 a 1.080 días</t>
  </si>
  <si>
    <t>Más de 1.080 días</t>
  </si>
  <si>
    <t>Cartera no vencida</t>
  </si>
  <si>
    <t xml:space="preserve">Saldo deterioro fiscal cartera año anterior </t>
  </si>
  <si>
    <t>Cargos por bajas en el año Actual Art. 146  ET</t>
  </si>
  <si>
    <t>Subtotal deducción fiscal o recuperación</t>
  </si>
  <si>
    <t>Total deducción por deterioro de CXC</t>
  </si>
  <si>
    <t>Total ingreso por recuperación deterioro</t>
  </si>
  <si>
    <t xml:space="preserve">Saldo deterioro de cartera acumulado </t>
  </si>
  <si>
    <t>Provisión fiscal Individual</t>
  </si>
  <si>
    <t>Cuentas por cobrar a clientes clasificados por vencimiento</t>
  </si>
  <si>
    <t>Valor</t>
  </si>
  <si>
    <t>Socio</t>
  </si>
  <si>
    <t>Abonos</t>
  </si>
  <si>
    <t>Fecha del movimiento</t>
  </si>
  <si>
    <t>Días del préstamo</t>
  </si>
  <si>
    <t>Transacciones con socios</t>
  </si>
  <si>
    <t>Préstamo Industrias LVG SAS</t>
  </si>
  <si>
    <t>Tasa de interés presunto</t>
  </si>
  <si>
    <t>Préstamos</t>
  </si>
  <si>
    <t xml:space="preserve">Anexo 9 Inventarios </t>
  </si>
  <si>
    <t>Materia prima</t>
  </si>
  <si>
    <t>Productos terminados</t>
  </si>
  <si>
    <t>Ajuste</t>
  </si>
  <si>
    <t>Desglose de la materia prima</t>
  </si>
  <si>
    <t>Saldo final</t>
  </si>
  <si>
    <t>Costo unitario</t>
  </si>
  <si>
    <t>Azúcar x Kl</t>
  </si>
  <si>
    <t>Soda x Hlt</t>
  </si>
  <si>
    <t>Gas Carbónico x Cilindro</t>
  </si>
  <si>
    <t>Desglose de productos terminados</t>
  </si>
  <si>
    <t>Bebida 350 CC</t>
  </si>
  <si>
    <t>Bebida x 1 Lt</t>
  </si>
  <si>
    <t>Bebida retornable</t>
  </si>
  <si>
    <t>Saldos iniciales</t>
  </si>
  <si>
    <t>Compras y costos</t>
  </si>
  <si>
    <t>CP depreciación</t>
  </si>
  <si>
    <t>CP servicios de personal temporal</t>
  </si>
  <si>
    <t>CP otros CIF</t>
  </si>
  <si>
    <t>Saldos finales</t>
  </si>
  <si>
    <t>Costo de ventas</t>
  </si>
  <si>
    <t>Ventas</t>
  </si>
  <si>
    <t>Análisis de los inventarios</t>
  </si>
  <si>
    <t xml:space="preserve">Casa habitación </t>
  </si>
  <si>
    <t>Garaje No 8</t>
  </si>
  <si>
    <t xml:space="preserve">Apartamento Bogotá </t>
  </si>
  <si>
    <t xml:space="preserve">Terreno rural </t>
  </si>
  <si>
    <t>Bodega Parque Industrial Medellín</t>
  </si>
  <si>
    <t>Muebles y enseres</t>
  </si>
  <si>
    <t>Equipo de computo</t>
  </si>
  <si>
    <t>Depreciación acumulada</t>
  </si>
  <si>
    <t>Costo ajustado por depreciación</t>
  </si>
  <si>
    <t>Valor patrimonial para la declaración</t>
  </si>
  <si>
    <t>Una persona natural suscribe un contrato de leasing financiero con una entidad financiera en el periodo actual.</t>
  </si>
  <si>
    <t>Número del contrato</t>
  </si>
  <si>
    <t>Fecha de inicio</t>
  </si>
  <si>
    <t>Junio 1 de 2020</t>
  </si>
  <si>
    <t>Valor inicial del contrato</t>
  </si>
  <si>
    <t xml:space="preserve">Activo subyacente </t>
  </si>
  <si>
    <t>Periodicidad de pago</t>
  </si>
  <si>
    <t>60 meses</t>
  </si>
  <si>
    <t>Mensual</t>
  </si>
  <si>
    <t>Plazo del contrato</t>
  </si>
  <si>
    <t>Opción de compra</t>
  </si>
  <si>
    <t>Periodo</t>
  </si>
  <si>
    <t>Flujo</t>
  </si>
  <si>
    <t>Vehículo de transporte (camión)</t>
  </si>
  <si>
    <t>Tasa de interés efectiva mensual</t>
  </si>
  <si>
    <t>Valor del canon mensual</t>
  </si>
  <si>
    <t>Interés</t>
  </si>
  <si>
    <t>Costo del vehículo de transporte</t>
  </si>
  <si>
    <t>Total vehículo de transporte</t>
  </si>
  <si>
    <t>Saldo del pasivo con la entidad</t>
  </si>
  <si>
    <t>Deducción por intereses</t>
  </si>
  <si>
    <t>Clase del activo</t>
  </si>
  <si>
    <t>Anexo 1</t>
  </si>
  <si>
    <t>Anexo 2</t>
  </si>
  <si>
    <t>Anexo 3</t>
  </si>
  <si>
    <t>Anexo 4</t>
  </si>
  <si>
    <t>Anexo 5</t>
  </si>
  <si>
    <t>Anexo 6</t>
  </si>
  <si>
    <t>Anexo 7</t>
  </si>
  <si>
    <t>Anexo 8</t>
  </si>
  <si>
    <t>Anexo 9</t>
  </si>
  <si>
    <t>Anexo 10</t>
  </si>
  <si>
    <t>Anexo 11</t>
  </si>
  <si>
    <t>Préstamo con entidad financiera</t>
  </si>
  <si>
    <t xml:space="preserve">Tarjeta de Crédito </t>
  </si>
  <si>
    <t>Contrato de arrendamiento financiero</t>
  </si>
  <si>
    <t>Contratos a través de fiducias</t>
  </si>
  <si>
    <t xml:space="preserve">Proveedores </t>
  </si>
  <si>
    <t xml:space="preserve">Impuesto sobre las ventas por pagar </t>
  </si>
  <si>
    <t>Seguridad social por pagar (diciembre)</t>
  </si>
  <si>
    <t>Impuesto de industria y comercio por pagar</t>
  </si>
  <si>
    <t>Prestaciones sociales por pagar</t>
  </si>
  <si>
    <t>Cuentas por pagar estimadas</t>
  </si>
  <si>
    <t>Anticipos recibidos de clientes</t>
  </si>
  <si>
    <t>Impuesto de renta por pagar</t>
  </si>
  <si>
    <t>Más renta generada por los activos exceptuados (actividades agropecuarias)</t>
  </si>
  <si>
    <t>Renta líquida presuntiva</t>
  </si>
  <si>
    <t>Renta líquida cedular</t>
  </si>
  <si>
    <t>Cálculo de la proporción de las rentas exentas frente al total de rentas exentas y deducciones imputables:</t>
  </si>
  <si>
    <t>Proporción</t>
  </si>
  <si>
    <t>Rentas exentas</t>
  </si>
  <si>
    <t xml:space="preserve"> - </t>
  </si>
  <si>
    <t>Deducciones imputables</t>
  </si>
  <si>
    <t>% Renta exenta frente al total</t>
  </si>
  <si>
    <t xml:space="preserve">Salarios </t>
  </si>
  <si>
    <t>Vacaciones y prima</t>
  </si>
  <si>
    <t>Renglón 33</t>
  </si>
  <si>
    <t>Renglón 34</t>
  </si>
  <si>
    <t xml:space="preserve">Intereses de cesantías </t>
  </si>
  <si>
    <t>Renglón 37</t>
  </si>
  <si>
    <t>Total aportes voluntarios AFC, FVP y/o AVC</t>
  </si>
  <si>
    <t>Total otras rentas exentas</t>
  </si>
  <si>
    <t>Intereses de vivienda</t>
  </si>
  <si>
    <t>Total rentas exentas</t>
  </si>
  <si>
    <t>Otras deducciones imputables</t>
  </si>
  <si>
    <t>Total deducciones imputables</t>
  </si>
  <si>
    <t xml:space="preserve">Renta exenta 25% </t>
  </si>
  <si>
    <t>Renglón 42</t>
  </si>
  <si>
    <t>Renta líquida ordinaria</t>
  </si>
  <si>
    <t xml:space="preserve">Total Ingresos brutos rentas de capital </t>
  </si>
  <si>
    <t>Intereses CDT y demás títulos</t>
  </si>
  <si>
    <t>Arrendamientos a través de PA</t>
  </si>
  <si>
    <t>Costos y deducciones a través de PA</t>
  </si>
  <si>
    <t>Menos costos y deducciones procedentes</t>
  </si>
  <si>
    <t>Total renta líquida ordinaria</t>
  </si>
  <si>
    <t>Renglón 59</t>
  </si>
  <si>
    <t>Renglón 60</t>
  </si>
  <si>
    <t>Renglón 61</t>
  </si>
  <si>
    <t>Renglón 69</t>
  </si>
  <si>
    <t>Renglón 73</t>
  </si>
  <si>
    <t>Total Ingresos rentas no laborales</t>
  </si>
  <si>
    <t>Ventas de la actividad comercial</t>
  </si>
  <si>
    <t>Gastos actividad comercial</t>
  </si>
  <si>
    <t>Renta líquida por recuperación de deducciones</t>
  </si>
  <si>
    <t>Costos actividad comercial</t>
  </si>
  <si>
    <t>Renglón 91</t>
  </si>
  <si>
    <t>Renglón 92</t>
  </si>
  <si>
    <t>Anexo 19 Renta Presuntiva</t>
  </si>
  <si>
    <t>Dividendos y participaciones 2016 y anteriores, y otros</t>
  </si>
  <si>
    <t>Rentas exentas de la casilla 109</t>
  </si>
  <si>
    <t>Deducción por depreciación</t>
  </si>
  <si>
    <t>Dividendos y participaciones año 2016 y anteriores</t>
  </si>
  <si>
    <t>Saldos año anterior</t>
  </si>
  <si>
    <t>Impuesto neto de renta</t>
  </si>
  <si>
    <t>Menos anticipo año anterior</t>
  </si>
  <si>
    <t>Menos retenciones que nos practicaron</t>
  </si>
  <si>
    <t>Cesantías sin límite (2016 y anteriores)</t>
  </si>
  <si>
    <t>Ahorro para el Fomento a la Construcción (AFC)</t>
  </si>
  <si>
    <t xml:space="preserve">Plan complementario de salud </t>
  </si>
  <si>
    <t>Rentas exentas y deducciones imputables (limitadas)</t>
  </si>
  <si>
    <t>Intereses bancarios originados en crédito de vivienda</t>
  </si>
  <si>
    <t>Certificado de ingresos y retenciones</t>
  </si>
  <si>
    <t>Límite de 384 UVT</t>
  </si>
  <si>
    <t>Certificado fiduciaria</t>
  </si>
  <si>
    <t>Obligado a llevar contabilidad</t>
  </si>
  <si>
    <t>Renglón 63 y 65</t>
  </si>
  <si>
    <t>Renglón 67 y 68</t>
  </si>
  <si>
    <t>Subtotal rentas exentas y deducciones imputables (limitadas)</t>
  </si>
  <si>
    <t>Menos rentas exentas y deducciones imputables antes de límite</t>
  </si>
  <si>
    <t>Siempre que no sea D.T.</t>
  </si>
  <si>
    <t>Ingresos brutos</t>
  </si>
  <si>
    <t>Deducciones por intereses contratos de leasing</t>
  </si>
  <si>
    <t>Deducciones por depreciación contratos de leasing</t>
  </si>
  <si>
    <t>Renta líquida de la cédula general</t>
  </si>
  <si>
    <t>Rentas líquida ordinaria cédula general</t>
  </si>
  <si>
    <t>cédula de rentas de dividendos y participaciones</t>
  </si>
  <si>
    <t>Renta liquida cédular de pensiones                                         (71-72)</t>
  </si>
  <si>
    <t>1a. subcédula año 2017 y siguientes númeral 3                                             Art.49 E.T.</t>
  </si>
  <si>
    <t>2a. subcédula año 2017 y siguientes paragrafo 2                                             Art. 49 E.T.</t>
  </si>
  <si>
    <t>Por dividendos y participaciones año 2017 y siguientes, 1a subcédula (base casilla 77)</t>
  </si>
  <si>
    <t>Por dividendos y participaciones año 2017 y siguientes, 2a subcédula, y otros (Base casillas 78+79 -80)</t>
  </si>
  <si>
    <t>Renta líquida ordinaria cédula general                                  (61-62)</t>
  </si>
  <si>
    <t>Renglón 93 y 97</t>
  </si>
  <si>
    <t>Valor Patrimonial Neto de aportes y acciones en sociedades nacionales (art. 189 Lit. a))</t>
  </si>
  <si>
    <t>Valor Patrimonial Neto de bienes afectados por hechos de fuerza mayor o caso fortuito (art. 189 Lit. b))</t>
  </si>
  <si>
    <t>Las Primeras 19.000 UVT de los Activos Vinculados al Sector Agropecuario (art. 189 Lit. e))</t>
  </si>
  <si>
    <t>Las Primeras 8.000 UVT del valor de la vivienda de habitación del contribuyente (art. 189 Lit. f))</t>
  </si>
  <si>
    <t>Proporción de R.E.  frente al total de R.E. y deducciones Imputables</t>
  </si>
  <si>
    <t>Total dividendos y participaciones año 2016 y anteriores</t>
  </si>
  <si>
    <t>Renglón 104</t>
  </si>
  <si>
    <t>Renglón 105</t>
  </si>
  <si>
    <t>Ingresos no constitutivos de renta (dividendos no gravados)</t>
  </si>
  <si>
    <t>Renta líquida ordinaria año 2016 y anteriores</t>
  </si>
  <si>
    <t>Renglón 106</t>
  </si>
  <si>
    <t>Renglón 107</t>
  </si>
  <si>
    <t>Renglón 108</t>
  </si>
  <si>
    <t>Total 1a subcédula año 2017 y siguientes núm. 3 art. 49 E.T.</t>
  </si>
  <si>
    <t>Total 2a subcédula año 2017 y siguientes par. 2 art. 49 E.T.</t>
  </si>
  <si>
    <t>Ingreso por ganancia ocasional</t>
  </si>
  <si>
    <t>Costos de ganancia ocasional</t>
  </si>
  <si>
    <t>Renglón 111</t>
  </si>
  <si>
    <t>Renglón 114</t>
  </si>
  <si>
    <t>Renglón 115</t>
  </si>
  <si>
    <t>Ganancias ocasionales gravables</t>
  </si>
  <si>
    <t>Renglón 116</t>
  </si>
  <si>
    <t>Renglón 128</t>
  </si>
  <si>
    <t>Impuesto en pesos</t>
  </si>
  <si>
    <t>Valor UVT</t>
  </si>
  <si>
    <t>Base gravable en UVT</t>
  </si>
  <si>
    <t>Multiplicado x valor UVT del año</t>
  </si>
  <si>
    <t>Renta líquida cedular general</t>
  </si>
  <si>
    <t>Menos 8.670 UVT</t>
  </si>
  <si>
    <t>Multiplicado por el 35%</t>
  </si>
  <si>
    <t xml:space="preserve">Más 2.296 UVT </t>
  </si>
  <si>
    <t>Renglón 117</t>
  </si>
  <si>
    <t>Por dividendos y participaciones 2016</t>
  </si>
  <si>
    <t>Multiplicado por el 0%</t>
  </si>
  <si>
    <t>Renta líquida dividendos año 2016 y anteriores</t>
  </si>
  <si>
    <t>Renglón 119</t>
  </si>
  <si>
    <t xml:space="preserve"> Multiplicado por el 10% </t>
  </si>
  <si>
    <t>Renglón 120</t>
  </si>
  <si>
    <t>Subtotal 1 impuesto 32%</t>
  </si>
  <si>
    <t>Renglón 121</t>
  </si>
  <si>
    <t>Total impuesto sobre las rentas líquidas gravables</t>
  </si>
  <si>
    <t>Total rentas líquidas cedulares del contribuyente (sin considerar el descuento tributario)</t>
  </si>
  <si>
    <t>Donación (no se incluyó como deducción)</t>
  </si>
  <si>
    <t>Descuento tributario (25%) por donaciones</t>
  </si>
  <si>
    <t>Determinación del descuento tributario</t>
  </si>
  <si>
    <t>Impuesto sobre la renta líquida cedular</t>
  </si>
  <si>
    <t>Impuesto determinado por el sistema de renta presuntiva</t>
  </si>
  <si>
    <t>Impuesto después de descuento tributario sin límites</t>
  </si>
  <si>
    <t>Límite 1- El Descuento tributario no puede exceder el valor del impuesto básico de renta</t>
  </si>
  <si>
    <t>Límite 2- El impuesto después de descuentos tributarios no puede ser inferior al 75% del impuesto determinado por el sistema de renta presuntiva</t>
  </si>
  <si>
    <t>Límite 3 - Los D.T. de los art. 255, 256, 257 y 257-1 del E.T. no pueden exceder en un 30% del impuesto sobre la renta a cargo del contribuyente.</t>
  </si>
  <si>
    <t>Cumple límite 1</t>
  </si>
  <si>
    <t>Cumple límite 2</t>
  </si>
  <si>
    <t>Exceso del descuento tributarios sobre el límite</t>
  </si>
  <si>
    <t>Descuento tributario sujeto a limitaciones (el menor entre el descuento tributario y los límites)</t>
  </si>
  <si>
    <t>Verificación</t>
  </si>
  <si>
    <t>Descuento tributario 50% ICA</t>
  </si>
  <si>
    <t>Cumple límite 3 - solo a donaciones</t>
  </si>
  <si>
    <t>Impuesto neto de renta - renglón 127</t>
  </si>
  <si>
    <t>Descuento tributario - Renglón 124 y 125</t>
  </si>
  <si>
    <t>Declaración de renta y complementarios 
personas naturales y asimiladas de residentes
 y sucesiones ilíquidas de causantes residentes</t>
  </si>
  <si>
    <t>Espacio reservado para la DIAN</t>
  </si>
  <si>
    <t>4. Número de formulario</t>
  </si>
  <si>
    <t>Datos del declarante</t>
  </si>
  <si>
    <t>24. Actividad económica principal</t>
  </si>
  <si>
    <t>Si es una          corrección indique:</t>
  </si>
  <si>
    <t>25. Cod.</t>
  </si>
  <si>
    <t>27. Fracción año gravable siguiente</t>
  </si>
  <si>
    <t>28. Pérdidas fiscales acumuladas años anteriores, sin compensar</t>
  </si>
  <si>
    <t>Total patrimonio bruto</t>
  </si>
  <si>
    <t>Total patrimonio líquido</t>
  </si>
  <si>
    <t>Conceptos/rentas</t>
  </si>
  <si>
    <t>Rentas por honorarios y comp. de serv. personales sujetos a costos y gastos y no a las rentas exentas num. 10 art. 206 ET.</t>
  </si>
  <si>
    <t>Devoluciones,rebajas y descuentos</t>
  </si>
  <si>
    <t>Renta líquida</t>
  </si>
  <si>
    <t>Cédula de pensiones</t>
  </si>
  <si>
    <t>Ingresos brutos por rentas de pensiones del pais y del exterior</t>
  </si>
  <si>
    <t>Rentas líquidas pasivas - ECE</t>
  </si>
  <si>
    <t>Aportes voluntarios AFC,FVP y/o AVC</t>
  </si>
  <si>
    <t>Otras rentas exentas</t>
  </si>
  <si>
    <t>Rentas exentas y/o deduc. Imputables (Limitadas)</t>
  </si>
  <si>
    <t>Renta líquida ordinaria del ejercicio</t>
  </si>
  <si>
    <t>Pérdida líquida del ejercicio</t>
  </si>
  <si>
    <t>Compensaciones por pérdidas</t>
  </si>
  <si>
    <t>Ren. Líquida céd.gen</t>
  </si>
  <si>
    <t>Ren. Ex. Y ded. Imp. Ii</t>
  </si>
  <si>
    <t>R. liq. Ord. Cédula  gen.</t>
  </si>
  <si>
    <t>Comp. Pérdidas año 2018 y ant.</t>
  </si>
  <si>
    <t>Comp. Por exc. Renta presuntiva</t>
  </si>
  <si>
    <t>R. Liq. Grav. Cédula gen.</t>
  </si>
  <si>
    <t>Impuesto sobre las rentas líquidas gravables</t>
  </si>
  <si>
    <t>General y de pensiones</t>
  </si>
  <si>
    <t>Renta presuntiva y de pensiones</t>
  </si>
  <si>
    <t>Por dividendos y participaciones año 2016</t>
  </si>
  <si>
    <t>Renta líquida gravable cédula de pensiones</t>
  </si>
  <si>
    <t>Por dividendos y participaciones año 2017 y siguientes, 1a. Subcédula</t>
  </si>
  <si>
    <t>Cédula de dividendos y participaciones</t>
  </si>
  <si>
    <t>Por dividendos y participaciones año 2017 y siguientes, 2a. Subcédula, y otros</t>
  </si>
  <si>
    <t>Imp. Pagados en el exterior</t>
  </si>
  <si>
    <t>1a. Subcédula año 2017 y siguientes numeral 3 art. 49 del ET</t>
  </si>
  <si>
    <t>Total des-          cuentos trib.</t>
  </si>
  <si>
    <t>2a. Subcédula año 2017 y siguientes párrafo 2 art. 49 del ET</t>
  </si>
  <si>
    <t>Renta líquida pasiva dividendos-ECE y/o recibidos del exterior</t>
  </si>
  <si>
    <t>Ganancias ocasionales</t>
  </si>
  <si>
    <t>Ingresos por ganancias ocasionales en el pais y del exterior</t>
  </si>
  <si>
    <t>Total impesto a cargo</t>
  </si>
  <si>
    <t>Rentas deudoras régimen Ley 1116 de 2006, Decretos 560 y 772 de 2020</t>
  </si>
  <si>
    <t>Utilización pérdidas fiscales acumuladas (Inc. 2, art. 15 Decreto 772 de 2020)</t>
  </si>
  <si>
    <t>Retención año gravable a declarar y/o abono por inexequibilidad impuesto solidario por el COVID-19</t>
  </si>
  <si>
    <t>Ganancias ocacionales no gravadas y exentas</t>
  </si>
  <si>
    <t>Anticipo renta para el año gravable siguiente</t>
  </si>
  <si>
    <t>Saldo a pagar por impuesto</t>
  </si>
  <si>
    <t>Total saldo a pagar</t>
  </si>
  <si>
    <t>Total saldo a favor</t>
  </si>
  <si>
    <t>981. Cód. representación</t>
  </si>
  <si>
    <t>Firma del declarante o de quien lo representa</t>
  </si>
  <si>
    <t>997. Espacio exclusivo para el sello de la entidad recuadadora</t>
  </si>
  <si>
    <t xml:space="preserve">  980. Pago total $</t>
  </si>
  <si>
    <t>982. Cód. Contador</t>
  </si>
  <si>
    <t>983. N. Tarjeta profesional</t>
  </si>
  <si>
    <t>Descuentos por impuestos pagados en el exterior por ganancias ocasionales</t>
  </si>
  <si>
    <t>10</t>
  </si>
  <si>
    <t>Cruzado con exogena 1001-5007</t>
  </si>
  <si>
    <t>Cruzado con exogena 1011</t>
  </si>
  <si>
    <t>Pensiones</t>
  </si>
  <si>
    <t>Aportes a fondos de pensiones voluntarios</t>
  </si>
  <si>
    <t>Aportes obligatorios a FP - RAIS- Colpensiones</t>
  </si>
  <si>
    <t>INCR</t>
  </si>
  <si>
    <t>Aportes voluntarios al RAIS o los aportes a seguros de pensiones</t>
  </si>
  <si>
    <t>INCR - limite 2.500 UVT</t>
  </si>
  <si>
    <t xml:space="preserve">Renta exenta - con dos limites </t>
  </si>
  <si>
    <t xml:space="preserve">Cédula de rentas de trabajo </t>
  </si>
  <si>
    <t>RE</t>
  </si>
  <si>
    <t>Ingresos</t>
  </si>
  <si>
    <t>Base para calcular el 40%</t>
  </si>
  <si>
    <t>pedro</t>
  </si>
  <si>
    <t>RT</t>
  </si>
  <si>
    <t>RNL</t>
  </si>
  <si>
    <t>Salarios</t>
  </si>
  <si>
    <t>INCR- seg social</t>
  </si>
  <si>
    <t>Ingreso neto</t>
  </si>
  <si>
    <t>Costos y gastos procede</t>
  </si>
  <si>
    <t>DI</t>
  </si>
  <si>
    <t>Limite del 40%</t>
  </si>
  <si>
    <t>Límite</t>
  </si>
  <si>
    <t>Si</t>
  </si>
  <si>
    <t>RL</t>
  </si>
  <si>
    <r>
      <t>Año de adquisición</t>
    </r>
    <r>
      <rPr>
        <sz val="10"/>
        <color theme="1"/>
        <rFont val="Arial"/>
        <family val="2"/>
      </rPr>
      <t> </t>
    </r>
  </si>
  <si>
    <r>
      <t>Acciones y Aportes</t>
    </r>
    <r>
      <rPr>
        <sz val="10"/>
        <color theme="1"/>
        <rFont val="Arial"/>
        <family val="2"/>
      </rPr>
      <t> </t>
    </r>
  </si>
  <si>
    <r>
      <t>Bienes Raíces</t>
    </r>
    <r>
      <rPr>
        <sz val="10"/>
        <color theme="1"/>
        <rFont val="Arial"/>
        <family val="2"/>
      </rPr>
      <t> </t>
    </r>
  </si>
  <si>
    <r>
      <t>Multiplicar por</t>
    </r>
    <r>
      <rPr>
        <sz val="10"/>
        <color theme="1"/>
        <rFont val="Arial"/>
        <family val="2"/>
      </rPr>
      <t> </t>
    </r>
  </si>
  <si>
    <t>Las inversiones en instrumento de deuda que cotizan en Bolsa de Valores deben declararse según la circular 002 de marzo de 2022, donde se informa el precio promedio de las transacciones de los diferentes títulos que transan en bolsa, de conformidad con lo previsto en el artículo 271 del E.T.</t>
  </si>
  <si>
    <t>Menos renta exenta sin límite</t>
  </si>
  <si>
    <t>Más costos y gastos procedentes</t>
  </si>
  <si>
    <t>Límite 40%</t>
  </si>
  <si>
    <t>Más renta exenta sin límite</t>
  </si>
  <si>
    <t>Total rentas exentas limitadas y deducciones imputables</t>
  </si>
  <si>
    <t>Rentas exentas y deducciones imputables</t>
  </si>
  <si>
    <t>Menos RE sin límite</t>
  </si>
  <si>
    <t>Rentas exentas y deducciones imputables sujetas a límite</t>
  </si>
  <si>
    <t>Rechazo de rentas exentas y deducciones imputables</t>
  </si>
  <si>
    <t>Rentas exentas y deducciones imputables limitadas (renglón 92)</t>
  </si>
  <si>
    <t>Movimiento débito 15 de diciembre de 2021</t>
  </si>
  <si>
    <t>Movimiento débito 8 de junio de 2021</t>
  </si>
  <si>
    <t>En el resultado por diferencia en cambio fiscal, el ajuste corresponderá con lo siguiente:</t>
  </si>
  <si>
    <t>Cuenta contable 430565 Diferencia en cambio</t>
  </si>
  <si>
    <t>Ingreso</t>
  </si>
  <si>
    <t>Reduce el ingreso</t>
  </si>
  <si>
    <t>Incrementa el ingreso</t>
  </si>
  <si>
    <t>Diferencia en cambio realizada</t>
  </si>
  <si>
    <t>TES B Total del 2021-03-26</t>
  </si>
  <si>
    <t>Intereses entidades financieras</t>
  </si>
  <si>
    <t>Otros gastos</t>
  </si>
  <si>
    <t>Venta vehículo de carga</t>
  </si>
  <si>
    <t>Costo del vehículo vendido</t>
  </si>
  <si>
    <t>Costo histórico del vehículo vendido</t>
  </si>
  <si>
    <t>Valor de la venta</t>
  </si>
  <si>
    <t>Utilidad fiscal</t>
  </si>
  <si>
    <t>Renta por recuperación de deducciones</t>
  </si>
  <si>
    <t>Ganancia ocasional</t>
  </si>
  <si>
    <t>Rendimiento presuntivo por préstamos a socios o accionistas a las empresas donde se tiene la inversión (ArtÍculo 35 del estatuto tributario)</t>
  </si>
  <si>
    <t>Anexo 10 Propiedad, Planta y Equipo y Propiedad de Inversión</t>
  </si>
  <si>
    <t>Anexo 11 Activos adquiridos a través de contratos de arrendamiento financiero</t>
  </si>
  <si>
    <t>Anexo 13 Deudas</t>
  </si>
  <si>
    <t>Anexo 14 Rentas de trabajo</t>
  </si>
  <si>
    <t xml:space="preserve">Anexo 15 Cédula general - Rentas de Capital </t>
  </si>
  <si>
    <t xml:space="preserve">Cédula general - rentas de capital </t>
  </si>
  <si>
    <t>Anexo 16 Cédula general - Rentas no laborales</t>
  </si>
  <si>
    <t>Anexo 17 - Renta Cédula General</t>
  </si>
  <si>
    <t>Anexo 18 Dividendos y participaciones</t>
  </si>
  <si>
    <t>Anexo 19 Ganancias Ocasionales</t>
  </si>
  <si>
    <t>Anexo 22 Anticipo</t>
  </si>
  <si>
    <t>Anexo 23 Justificación Patrimonial</t>
  </si>
  <si>
    <t>Ingresos o gastos x DC</t>
  </si>
  <si>
    <t>Dc no realizada</t>
  </si>
  <si>
    <t>Fondos de inversión</t>
  </si>
  <si>
    <t>Valor razonable- fair value</t>
  </si>
  <si>
    <t xml:space="preserve">Acciones </t>
  </si>
  <si>
    <t>Inicial</t>
  </si>
  <si>
    <t>Valorización</t>
  </si>
  <si>
    <t>RC</t>
  </si>
  <si>
    <t>Costos y GP RC</t>
  </si>
  <si>
    <t>0 a 90 días</t>
  </si>
  <si>
    <t>Anexo 8 Préstamos a empresas donde se actua como socio o accionista</t>
  </si>
  <si>
    <t>Certificado - saldo a dic 31 del pasivo y intereses causados</t>
  </si>
  <si>
    <t>Certificado de la fiduciaría</t>
  </si>
  <si>
    <t>Contabilidad (circularización con proveedores importantes)</t>
  </si>
  <si>
    <t>Declaración 300</t>
  </si>
  <si>
    <t>Planilla del mes de diciembre pagada en enero</t>
  </si>
  <si>
    <t>Declaraciones de ICA de cada municipio</t>
  </si>
  <si>
    <t>Cuadro empleado por empleado como soporte (cesantias e intereses- pagos del 2022)</t>
  </si>
  <si>
    <t>Analisis de cada estimación con la fra de fecha 2022</t>
  </si>
  <si>
    <t>Detalle uno a uno (verificra realidad)</t>
  </si>
  <si>
    <t>Certificado del banco (extracto)</t>
  </si>
  <si>
    <t>Movimiento débito 13 de abril de 2022</t>
  </si>
  <si>
    <t xml:space="preserve">Analisís </t>
  </si>
  <si>
    <t xml:space="preserve">Una metodología para calcular el saldo a diciembre 31 de 2022 es tomar los movimientos débito de la cuenta usando la metodología PEPS </t>
  </si>
  <si>
    <t>Diferencia en cambio no realizada 2022 bancos exterior</t>
  </si>
  <si>
    <t>Menos diferencia en cambio no realizada 2021 bancos exterior</t>
  </si>
  <si>
    <t>Cesantías consignadas en el fondo en 2022</t>
  </si>
  <si>
    <t>Intereses de cesantías pagados en 2022</t>
  </si>
  <si>
    <t xml:space="preserve"> Valor UVT Año 2022</t>
  </si>
  <si>
    <t>% Precio fiscal</t>
  </si>
  <si>
    <t xml:space="preserve"> Valor UVT </t>
  </si>
  <si>
    <t>Impuesto de industria y comercio (ICA) causado y pagado antes de la presentación de la declaración de renta.</t>
  </si>
  <si>
    <t>Formulario 210 saldo a pagar o a favor menos el anticipo del proximo año</t>
  </si>
  <si>
    <t xml:space="preserve">ARTÍCULO 1.2.1.17.21.- Costo fiscal para determinar la renta o ganancia ocasional.Para efectos de determinar la renta o ganancia ocasional, según el caso, proveniente de la enajenación durante el año gravable, de bienes raíces y de acciones o aportes que tengan el carácter de activos fijos, los contribuyentes que sean personas naturales podrán tomar como costo fiscal cualquiera de los siguientes valores:  
1. El valor que se obtenga de multiplicar el costo fiscal de los activos fijos enajenados, que figure en la declaración de renta por el año gravable de 1986 por cuarenta punto once (40.11) si se trata de acciones o aportes, y por trescientos ochenta y tres punto cero seis (383.06), en el caso de bienes raíces.  
2. El valor que se obtenga de multiplicar el costo de adquisición del bien enajenado por la cifra de ajuste que figure frente al año de adquisición del mismo, conforme con la siguiente tabla: </t>
  </si>
  <si>
    <t xml:space="preserve">De conformidad con lo dispuesto por el artículo 73 del Estatuto Tributario, en cualquiera de los casos señalados en los numerales 1 y 2, la cifra obtenida, puede ser incrementada en el valor de las mejoras y contribuciones por valorización que se hubieren pagado, cuando se trate de bienes raíces.  
En el momento de la enajenación del inmueble, se restará del costo fiscal determinado de acuerdo con el presente artículo, las depreciaciones que hayan sido deducidas para fines fiscales.  
Parágrafo: El costo fiscal de los bienes raíces, aportes o acciones en sociedades determinado de acuerdo con este artículo, podrá ser tomado como valor patrimonial en la declaración de renta y complementarios del año gravable.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</si>
</sst>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quot;$&quot;#,##0;[Red]\-&quot;$&quot;#,##0"/>
    <numFmt numFmtId="165" formatCode="_-&quot;$&quot;* #,##0_-;\-&quot;$&quot;* #,##0_-;_-&quot;$&quot;* &quot;-&quot;_-;_-@_-"/>
    <numFmt numFmtId="166" formatCode="_-* #,##0.00_-;\-* #,##0.00_-;_-* &quot;-&quot;_-;_-@_-"/>
    <numFmt numFmtId="167" formatCode="_-* #,##0_-;\-* #,##0_-;_-* &quot;-&quot;??_-;_-@_-"/>
    <numFmt numFmtId="168" formatCode="0.0%"/>
    <numFmt numFmtId="169" formatCode="_(* #,##0_);_(* \(#,##0\);_(* &quot;-&quot;??_);_(@_)"/>
    <numFmt numFmtId="170" formatCode="_ * #,##0_ ;_ * \-#,##0_ ;_ * &quot;-&quot;??_ ;_ @_ "/>
    <numFmt numFmtId="171" formatCode="0.000%"/>
    <numFmt numFmtId="172" formatCode="_-* #,##0.0000000000_-;\-* #,##0.0000000000_-;_-* &quot;-&quot;??_-;_-@_-"/>
    <numFmt numFmtId="173" formatCode="#,##0_ ;[Red]\-#,##0\ "/>
    <numFmt numFmtId="174" formatCode="#,##0;\(#,##0\)"/>
    <numFmt numFmtId="175" formatCode="#,##0.00;\(#,##0.00\)"/>
    <numFmt numFmtId="176" formatCode="\ #,##0;\(#,##0\)"/>
    <numFmt numFmtId="177" formatCode="_(* #,##0.00_);_(* \(#,##0.00\);_(* &quot;-&quot;??_);_(@_)"/>
    <numFmt numFmtId="178" formatCode="0.00000%"/>
  </numFmts>
  <fonts count="71" x14ac:knownFonts="1">
    <font>
      <sz val="10"/>
      <name val="Arial"/>
    </font>
    <font>
      <sz val="10"/>
      <name val="Arial"/>
      <family val="2"/>
    </font>
    <font>
      <sz val="6"/>
      <name val="Arial"/>
      <family val="2"/>
    </font>
    <font>
      <b/>
      <sz val="10"/>
      <name val="Arial"/>
      <family val="2"/>
    </font>
    <font>
      <b/>
      <sz val="8"/>
      <name val="Arial"/>
      <family val="2"/>
    </font>
    <font>
      <b/>
      <sz val="9"/>
      <name val="Arial"/>
      <family val="2"/>
    </font>
    <font>
      <sz val="10"/>
      <name val="Arial"/>
      <family val="2"/>
    </font>
    <font>
      <b/>
      <sz val="6"/>
      <name val="Arial"/>
      <family val="2"/>
    </font>
    <font>
      <sz val="5"/>
      <name val="Arial"/>
      <family val="2"/>
    </font>
    <font>
      <sz val="8"/>
      <name val="Arial"/>
      <family val="2"/>
    </font>
    <font>
      <sz val="7"/>
      <name val="Arial"/>
      <family val="2"/>
    </font>
    <font>
      <b/>
      <sz val="7"/>
      <name val="Arial"/>
      <family val="2"/>
    </font>
    <font>
      <sz val="7.5"/>
      <name val="Arial"/>
      <family val="2"/>
    </font>
    <font>
      <b/>
      <sz val="7.5"/>
      <name val="Arial"/>
      <family val="2"/>
    </font>
    <font>
      <sz val="9"/>
      <name val="Arial"/>
      <family val="2"/>
    </font>
    <font>
      <sz val="10"/>
      <name val="Arial"/>
      <family val="2"/>
    </font>
    <font>
      <sz val="8"/>
      <color theme="1"/>
      <name val="Arial"/>
      <family val="2"/>
    </font>
    <font>
      <sz val="10"/>
      <color theme="1"/>
      <name val="Arial"/>
      <family val="2"/>
    </font>
    <font>
      <b/>
      <sz val="10"/>
      <color theme="1"/>
      <name val="Arial"/>
      <family val="2"/>
    </font>
    <font>
      <b/>
      <sz val="9"/>
      <color rgb="FF7030A0"/>
      <name val="Arial"/>
      <family val="2"/>
    </font>
    <font>
      <sz val="10"/>
      <color theme="1"/>
      <name val="Calibri"/>
      <family val="2"/>
      <scheme val="minor"/>
    </font>
    <font>
      <sz val="10"/>
      <color rgb="FF329044"/>
      <name val="Arial"/>
      <family val="2"/>
    </font>
    <font>
      <sz val="5"/>
      <color rgb="FF008000"/>
      <name val="Arial"/>
      <family val="2"/>
    </font>
    <font>
      <sz val="10"/>
      <color theme="0" tint="-0.34998626667073579"/>
      <name val="Arial"/>
      <family val="2"/>
    </font>
    <font>
      <sz val="8"/>
      <color rgb="FFFF0000"/>
      <name val="Arial"/>
      <family val="2"/>
    </font>
    <font>
      <sz val="8"/>
      <color theme="0" tint="-0.34998626667073579"/>
      <name val="Arial"/>
      <family val="2"/>
    </font>
    <font>
      <sz val="12"/>
      <name val="Arial"/>
      <family val="2"/>
    </font>
    <font>
      <sz val="8"/>
      <color theme="1"/>
      <name val="Tahoma"/>
      <family val="2"/>
    </font>
    <font>
      <u/>
      <sz val="12"/>
      <color theme="10"/>
      <name val="Calibri"/>
      <family val="2"/>
      <scheme val="minor"/>
    </font>
    <font>
      <b/>
      <sz val="26"/>
      <color theme="0"/>
      <name val="Arial"/>
      <family val="2"/>
    </font>
    <font>
      <b/>
      <sz val="12"/>
      <color rgb="FF0000FF"/>
      <name val="Arial"/>
      <family val="2"/>
    </font>
    <font>
      <b/>
      <sz val="16"/>
      <name val="Arial"/>
      <family val="2"/>
    </font>
    <font>
      <u/>
      <sz val="10"/>
      <color theme="10"/>
      <name val="Arial"/>
      <family val="2"/>
    </font>
    <font>
      <b/>
      <u/>
      <sz val="10"/>
      <color theme="10"/>
      <name val="Arial"/>
      <family val="2"/>
    </font>
    <font>
      <sz val="10"/>
      <color indexed="12"/>
      <name val="Arial"/>
      <family val="2"/>
    </font>
    <font>
      <sz val="10"/>
      <color theme="0"/>
      <name val="Arial"/>
      <family val="2"/>
    </font>
    <font>
      <sz val="10"/>
      <color rgb="FFFF0000"/>
      <name val="Arial"/>
      <family val="2"/>
    </font>
    <font>
      <sz val="10"/>
      <color rgb="FF000000"/>
      <name val="Arial"/>
      <family val="2"/>
    </font>
    <font>
      <b/>
      <sz val="10"/>
      <color rgb="FF000000"/>
      <name val="Arial"/>
      <family val="2"/>
    </font>
    <font>
      <sz val="10"/>
      <color rgb="FF00B0F0"/>
      <name val="Arial"/>
      <family val="2"/>
    </font>
    <font>
      <sz val="10"/>
      <color indexed="10"/>
      <name val="Arial"/>
      <family val="2"/>
    </font>
    <font>
      <b/>
      <sz val="10"/>
      <color theme="0"/>
      <name val="Arial"/>
      <family val="2"/>
    </font>
    <font>
      <b/>
      <sz val="9"/>
      <color rgb="FF000000"/>
      <name val="Arial"/>
      <family val="2"/>
    </font>
    <font>
      <sz val="9"/>
      <color rgb="FF000000"/>
      <name val="Arial"/>
      <family val="2"/>
    </font>
    <font>
      <b/>
      <sz val="11"/>
      <name val="Arial"/>
      <family val="2"/>
    </font>
    <font>
      <b/>
      <sz val="12"/>
      <name val="Arial"/>
      <family val="2"/>
    </font>
    <font>
      <b/>
      <sz val="36"/>
      <color theme="0"/>
      <name val="Arial"/>
      <family val="2"/>
    </font>
    <font>
      <b/>
      <sz val="16"/>
      <color theme="0"/>
      <name val="Arial"/>
      <family val="2"/>
    </font>
    <font>
      <b/>
      <sz val="9"/>
      <color theme="0"/>
      <name val="Arial"/>
      <family val="2"/>
    </font>
    <font>
      <b/>
      <sz val="12"/>
      <color theme="0"/>
      <name val="Arial"/>
      <family val="2"/>
    </font>
    <font>
      <sz val="11"/>
      <name val="Arial"/>
      <family val="2"/>
    </font>
    <font>
      <sz val="8"/>
      <color theme="0"/>
      <name val="Arial"/>
      <family val="2"/>
    </font>
    <font>
      <sz val="9"/>
      <color theme="0"/>
      <name val="Arial"/>
      <family val="2"/>
    </font>
    <font>
      <sz val="5.5"/>
      <name val="Arial"/>
      <family val="2"/>
    </font>
    <font>
      <sz val="16"/>
      <color theme="0"/>
      <name val="Arial"/>
      <family val="2"/>
    </font>
    <font>
      <sz val="6"/>
      <color theme="0"/>
      <name val="Arial"/>
      <family val="2"/>
    </font>
    <font>
      <sz val="7"/>
      <color theme="0"/>
      <name val="Arial"/>
      <family val="2"/>
    </font>
    <font>
      <b/>
      <sz val="7.5"/>
      <color theme="0"/>
      <name val="Arial"/>
      <family val="2"/>
    </font>
    <font>
      <sz val="7.5"/>
      <color theme="0"/>
      <name val="Arial"/>
      <family val="2"/>
    </font>
    <font>
      <u/>
      <sz val="10"/>
      <color theme="0"/>
      <name val="Calibri"/>
      <family val="2"/>
      <scheme val="minor"/>
    </font>
    <font>
      <b/>
      <sz val="8"/>
      <color theme="0"/>
      <name val="Arial"/>
      <family val="2"/>
    </font>
    <font>
      <b/>
      <sz val="6.5"/>
      <name val="Arial"/>
      <family val="2"/>
    </font>
    <font>
      <b/>
      <u/>
      <sz val="10"/>
      <color theme="0"/>
      <name val="Calibri"/>
      <family val="2"/>
      <scheme val="minor"/>
    </font>
    <font>
      <b/>
      <sz val="7"/>
      <color theme="0"/>
      <name val="Arial"/>
      <family val="2"/>
    </font>
    <font>
      <b/>
      <sz val="6.5"/>
      <color theme="0"/>
      <name val="Arial"/>
      <family val="2"/>
    </font>
    <font>
      <sz val="6.5"/>
      <color theme="0"/>
      <name val="Arial"/>
      <family val="2"/>
    </font>
    <font>
      <sz val="6.5"/>
      <name val="Arial"/>
      <family val="2"/>
    </font>
    <font>
      <b/>
      <sz val="6"/>
      <color theme="0"/>
      <name val="Arial"/>
      <family val="2"/>
    </font>
    <font>
      <sz val="5"/>
      <color theme="0"/>
      <name val="Arial"/>
      <family val="2"/>
    </font>
    <font>
      <b/>
      <sz val="11"/>
      <color rgb="FFFF0000"/>
      <name val="Arial"/>
      <family val="2"/>
    </font>
    <font>
      <b/>
      <sz val="11"/>
      <color theme="2" tint="-0.499984740745262"/>
      <name val="Arial"/>
      <family val="2"/>
    </font>
  </fonts>
  <fills count="2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tint="-0.34998626667073579"/>
        <bgColor indexed="64"/>
      </patternFill>
    </fill>
    <fill>
      <patternFill patternType="solid">
        <fgColor theme="4" tint="-0.249977111117893"/>
        <bgColor indexed="64"/>
      </patternFill>
    </fill>
    <fill>
      <patternFill patternType="gray0625">
        <fgColor theme="0"/>
        <bgColor theme="0"/>
      </patternFill>
    </fill>
    <fill>
      <patternFill patternType="gray0625">
        <fgColor rgb="FFCCFFCC"/>
        <bgColor theme="0"/>
      </patternFill>
    </fill>
    <fill>
      <patternFill patternType="solid">
        <fgColor rgb="FF00B05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5B6750"/>
        <bgColor indexed="64"/>
      </patternFill>
    </fill>
    <fill>
      <patternFill patternType="solid">
        <fgColor indexed="9"/>
        <bgColor indexed="64"/>
      </patternFill>
    </fill>
    <fill>
      <patternFill patternType="solid">
        <fgColor theme="8" tint="0.59999389629810485"/>
        <bgColor indexed="64"/>
      </patternFill>
    </fill>
    <fill>
      <patternFill patternType="solid">
        <fgColor rgb="FFFFFFFF"/>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indexed="64"/>
      </bottom>
      <diagonal/>
    </border>
    <border>
      <left style="thin">
        <color theme="0" tint="-0.34998626667073579"/>
      </left>
      <right/>
      <top/>
      <bottom style="thin">
        <color indexed="64"/>
      </bottom>
      <diagonal/>
    </border>
    <border>
      <left/>
      <right style="thin">
        <color indexed="64"/>
      </right>
      <top style="thin">
        <color indexed="64"/>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indexed="64"/>
      </bottom>
      <diagonal/>
    </border>
    <border>
      <left style="thin">
        <color rgb="FF329044"/>
      </left>
      <right style="thin">
        <color rgb="FF329044"/>
      </right>
      <top style="thin">
        <color rgb="FF329044"/>
      </top>
      <bottom style="thin">
        <color rgb="FF329044"/>
      </bottom>
      <diagonal/>
    </border>
    <border>
      <left style="thin">
        <color rgb="FF329044"/>
      </left>
      <right style="thin">
        <color rgb="FF329044"/>
      </right>
      <top/>
      <bottom style="thin">
        <color rgb="FF329044"/>
      </bottom>
      <diagonal/>
    </border>
    <border>
      <left style="thin">
        <color rgb="FF329044"/>
      </left>
      <right/>
      <top/>
      <bottom style="thin">
        <color rgb="FF329044"/>
      </bottom>
      <diagonal/>
    </border>
    <border>
      <left style="thin">
        <color rgb="FF329044"/>
      </left>
      <right/>
      <top style="thin">
        <color rgb="FF329044"/>
      </top>
      <bottom style="thin">
        <color rgb="FF329044"/>
      </bottom>
      <diagonal/>
    </border>
    <border>
      <left/>
      <right style="thin">
        <color rgb="FF329044"/>
      </right>
      <top style="thin">
        <color rgb="FF329044"/>
      </top>
      <bottom style="thin">
        <color rgb="FF329044"/>
      </bottom>
      <diagonal/>
    </border>
    <border>
      <left style="thin">
        <color indexed="64"/>
      </left>
      <right/>
      <top style="thin">
        <color indexed="64"/>
      </top>
      <bottom style="thin">
        <color theme="0" tint="-0.34998626667073579"/>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indexed="64"/>
      </left>
      <right/>
      <top/>
      <bottom style="thin">
        <color indexed="64"/>
      </bottom>
      <diagonal/>
    </border>
    <border>
      <left/>
      <right style="thin">
        <color indexed="64"/>
      </right>
      <top/>
      <bottom/>
      <diagonal/>
    </border>
    <border>
      <left/>
      <right style="thin">
        <color auto="1"/>
      </right>
      <top style="thin">
        <color auto="1"/>
      </top>
      <bottom/>
      <diagonal/>
    </border>
    <border>
      <left/>
      <right/>
      <top style="thin">
        <color auto="1"/>
      </top>
      <bottom/>
      <diagonal/>
    </border>
    <border>
      <left style="thin">
        <color indexed="64"/>
      </left>
      <right/>
      <top style="thin">
        <color auto="1"/>
      </top>
      <bottom/>
      <diagonal/>
    </border>
    <border>
      <left style="thin">
        <color theme="1"/>
      </left>
      <right style="thin">
        <color theme="1"/>
      </right>
      <top/>
      <bottom/>
      <diagonal/>
    </border>
    <border>
      <left/>
      <right style="thin">
        <color theme="1"/>
      </right>
      <top/>
      <bottom style="thin">
        <color auto="1"/>
      </bottom>
      <diagonal/>
    </border>
    <border>
      <left style="thin">
        <color theme="1"/>
      </left>
      <right/>
      <top/>
      <bottom style="thin">
        <color indexed="64"/>
      </bottom>
      <diagonal/>
    </border>
    <border>
      <left style="thin">
        <color theme="1"/>
      </left>
      <right style="thin">
        <color theme="1"/>
      </right>
      <top/>
      <bottom style="thin">
        <color auto="1"/>
      </bottom>
      <diagonal/>
    </border>
    <border>
      <left/>
      <right style="thin">
        <color theme="1"/>
      </right>
      <top/>
      <bottom/>
      <diagonal/>
    </border>
    <border>
      <left style="thin">
        <color theme="1"/>
      </left>
      <right/>
      <top/>
      <bottom/>
      <diagonal/>
    </border>
    <border>
      <left style="thin">
        <color theme="1"/>
      </left>
      <right style="thin">
        <color theme="1"/>
      </right>
      <top style="thin">
        <color theme="1"/>
      </top>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right style="thin">
        <color indexed="64"/>
      </right>
      <top/>
      <bottom style="thin">
        <color theme="1"/>
      </bottom>
      <diagonal/>
    </border>
    <border>
      <left/>
      <right/>
      <top/>
      <bottom style="thin">
        <color theme="1"/>
      </bottom>
      <diagonal/>
    </border>
    <border>
      <left style="thin">
        <color indexed="64"/>
      </left>
      <right style="thin">
        <color indexed="64"/>
      </right>
      <top/>
      <bottom style="thin">
        <color theme="1"/>
      </bottom>
      <diagonal/>
    </border>
    <border>
      <left style="thin">
        <color theme="1"/>
      </left>
      <right/>
      <top/>
      <bottom style="thin">
        <color theme="1"/>
      </bottom>
      <diagonal/>
    </border>
    <border>
      <left style="thin">
        <color theme="1"/>
      </left>
      <right style="thin">
        <color theme="1"/>
      </right>
      <top/>
      <bottom style="thin">
        <color theme="1"/>
      </bottom>
      <diagonal/>
    </border>
    <border>
      <left style="thin">
        <color indexed="64"/>
      </left>
      <right style="thin">
        <color auto="1"/>
      </right>
      <top style="thin">
        <color auto="1"/>
      </top>
      <bottom/>
      <diagonal/>
    </border>
    <border>
      <left style="thin">
        <color theme="1"/>
      </left>
      <right/>
      <top style="thin">
        <color auto="1"/>
      </top>
      <bottom/>
      <diagonal/>
    </border>
    <border>
      <left style="thin">
        <color theme="1"/>
      </left>
      <right style="thin">
        <color theme="1"/>
      </right>
      <top style="thin">
        <color indexed="64"/>
      </top>
      <bottom/>
      <diagonal/>
    </border>
    <border>
      <left style="thin">
        <color rgb="FF329044"/>
      </left>
      <right style="thin">
        <color indexed="64"/>
      </right>
      <top style="thin">
        <color rgb="FF329044"/>
      </top>
      <bottom style="thin">
        <color indexed="64"/>
      </bottom>
      <diagonal/>
    </border>
    <border>
      <left style="thin">
        <color rgb="FF329044"/>
      </left>
      <right/>
      <top style="thin">
        <color rgb="FF329044"/>
      </top>
      <bottom style="thin">
        <color indexed="64"/>
      </bottom>
      <diagonal/>
    </border>
    <border>
      <left style="thin">
        <color rgb="FF329044"/>
      </left>
      <right style="thin">
        <color rgb="FF329044"/>
      </right>
      <top style="thin">
        <color rgb="FF329044"/>
      </top>
      <bottom style="thin">
        <color indexed="64"/>
      </bottom>
      <diagonal/>
    </border>
    <border>
      <left style="thin">
        <color indexed="64"/>
      </left>
      <right style="thin">
        <color rgb="FF329044"/>
      </right>
      <top style="thin">
        <color rgb="FF329044"/>
      </top>
      <bottom style="thin">
        <color indexed="64"/>
      </bottom>
      <diagonal/>
    </border>
    <border>
      <left style="thin">
        <color rgb="FF329044"/>
      </left>
      <right style="thin">
        <color indexed="64"/>
      </right>
      <top style="thin">
        <color rgb="FF329044"/>
      </top>
      <bottom style="thin">
        <color rgb="FF329044"/>
      </bottom>
      <diagonal/>
    </border>
    <border>
      <left style="thin">
        <color indexed="64"/>
      </left>
      <right style="thin">
        <color rgb="FF329044"/>
      </right>
      <top style="thin">
        <color rgb="FF329044"/>
      </top>
      <bottom style="thin">
        <color rgb="FF329044"/>
      </bottom>
      <diagonal/>
    </border>
    <border>
      <left style="thin">
        <color rgb="FF329044"/>
      </left>
      <right style="thin">
        <color indexed="64"/>
      </right>
      <top/>
      <bottom style="thin">
        <color rgb="FF329044"/>
      </bottom>
      <diagonal/>
    </border>
    <border>
      <left style="thin">
        <color indexed="64"/>
      </left>
      <right style="thin">
        <color rgb="FF329044"/>
      </right>
      <top/>
      <bottom style="thin">
        <color rgb="FF329044"/>
      </bottom>
      <diagonal/>
    </border>
    <border>
      <left style="thin">
        <color rgb="FF329044"/>
      </left>
      <right/>
      <top style="thin">
        <color indexed="64"/>
      </top>
      <bottom/>
      <diagonal/>
    </border>
    <border>
      <left style="thin">
        <color indexed="64"/>
      </left>
      <right style="thin">
        <color rgb="FF329044"/>
      </right>
      <top style="thin">
        <color indexed="64"/>
      </top>
      <bottom/>
      <diagonal/>
    </border>
    <border>
      <left/>
      <right style="thin">
        <color rgb="FF329044"/>
      </right>
      <top style="thin">
        <color rgb="FF329044"/>
      </top>
      <bottom style="thin">
        <color indexed="64"/>
      </bottom>
      <diagonal/>
    </border>
    <border>
      <left/>
      <right style="thin">
        <color rgb="FF329044"/>
      </right>
      <top/>
      <bottom style="thin">
        <color rgb="FF329044"/>
      </bottom>
      <diagonal/>
    </border>
    <border>
      <left style="thin">
        <color indexed="64"/>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top style="thin">
        <color theme="0" tint="-0.34998626667073579"/>
      </top>
      <bottom style="thin">
        <color theme="0" tint="-0.34998626667073579"/>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329044"/>
      </right>
      <top style="thin">
        <color indexed="64"/>
      </top>
      <bottom style="thin">
        <color rgb="FF329044"/>
      </bottom>
      <diagonal/>
    </border>
    <border>
      <left style="thin">
        <color rgb="FF329044"/>
      </left>
      <right style="thin">
        <color rgb="FF329044"/>
      </right>
      <top style="thin">
        <color indexed="64"/>
      </top>
      <bottom style="thin">
        <color rgb="FF329044"/>
      </bottom>
      <diagonal/>
    </border>
    <border>
      <left style="thin">
        <color rgb="FF329044"/>
      </left>
      <right/>
      <top style="thin">
        <color indexed="64"/>
      </top>
      <bottom style="thin">
        <color rgb="FF329044"/>
      </bottom>
      <diagonal/>
    </border>
    <border>
      <left/>
      <right style="thin">
        <color rgb="FF329044"/>
      </right>
      <top style="thin">
        <color indexed="64"/>
      </top>
      <bottom/>
      <diagonal/>
    </border>
    <border>
      <left/>
      <right style="thin">
        <color rgb="FF329044"/>
      </right>
      <top/>
      <bottom/>
      <diagonal/>
    </border>
    <border>
      <left style="thin">
        <color rgb="FF329044"/>
      </left>
      <right/>
      <top/>
      <bottom/>
      <diagonal/>
    </border>
  </borders>
  <cellStyleXfs count="11">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6" fillId="0" borderId="0"/>
    <xf numFmtId="43" fontId="27" fillId="0" borderId="0" applyFont="0" applyFill="0" applyBorder="0" applyAlignment="0" applyProtection="0"/>
    <xf numFmtId="0" fontId="28" fillId="0" borderId="0" applyNumberFormat="0" applyFill="0" applyBorder="0" applyAlignment="0" applyProtection="0"/>
    <xf numFmtId="43" fontId="6" fillId="0" borderId="0" applyFont="0" applyFill="0" applyBorder="0" applyAlignment="0" applyProtection="0"/>
    <xf numFmtId="177" fontId="6" fillId="0" borderId="0" applyFont="0" applyFill="0" applyBorder="0" applyAlignment="0" applyProtection="0"/>
    <xf numFmtId="43" fontId="27" fillId="0" borderId="0" applyFont="0" applyFill="0" applyBorder="0" applyAlignment="0" applyProtection="0"/>
    <xf numFmtId="0" fontId="1" fillId="0" borderId="0"/>
  </cellStyleXfs>
  <cellXfs count="1227">
    <xf numFmtId="0" fontId="0" fillId="0" borderId="0" xfId="0"/>
    <xf numFmtId="3" fontId="0" fillId="0" borderId="0" xfId="0" applyNumberFormat="1"/>
    <xf numFmtId="3" fontId="6" fillId="0" borderId="0" xfId="0" applyNumberFormat="1" applyFont="1"/>
    <xf numFmtId="0" fontId="6" fillId="3" borderId="0" xfId="0" applyFont="1" applyFill="1"/>
    <xf numFmtId="3" fontId="6" fillId="0" borderId="1" xfId="0" applyNumberFormat="1" applyFont="1" applyBorder="1"/>
    <xf numFmtId="0" fontId="6" fillId="0" borderId="0" xfId="0" applyFont="1"/>
    <xf numFmtId="0" fontId="3" fillId="0" borderId="0" xfId="0" applyFont="1"/>
    <xf numFmtId="3" fontId="6" fillId="0" borderId="0" xfId="0" applyNumberFormat="1" applyFont="1" applyAlignment="1">
      <alignment wrapText="1"/>
    </xf>
    <xf numFmtId="0" fontId="3" fillId="0" borderId="1" xfId="0" applyFont="1" applyBorder="1"/>
    <xf numFmtId="0" fontId="3" fillId="0" borderId="0" xfId="0" applyFont="1" applyAlignment="1">
      <alignment vertical="center" wrapText="1"/>
    </xf>
    <xf numFmtId="3" fontId="3" fillId="0" borderId="0" xfId="0" applyNumberFormat="1" applyFont="1"/>
    <xf numFmtId="0" fontId="6" fillId="0" borderId="1" xfId="0" applyFont="1" applyBorder="1"/>
    <xf numFmtId="0" fontId="6" fillId="0" borderId="1" xfId="0" applyFont="1" applyBorder="1" applyAlignment="1">
      <alignment horizontal="left"/>
    </xf>
    <xf numFmtId="0" fontId="6" fillId="0" borderId="1" xfId="0" applyFont="1" applyBorder="1" applyAlignment="1">
      <alignment horizontal="left" vertical="center"/>
    </xf>
    <xf numFmtId="41" fontId="6" fillId="0" borderId="1" xfId="2" applyFont="1" applyBorder="1"/>
    <xf numFmtId="0" fontId="3" fillId="5" borderId="1" xfId="0" applyFont="1" applyFill="1" applyBorder="1"/>
    <xf numFmtId="0" fontId="6" fillId="5" borderId="1" xfId="0" applyFont="1" applyFill="1" applyBorder="1"/>
    <xf numFmtId="3" fontId="6" fillId="5" borderId="1" xfId="0" applyNumberFormat="1" applyFont="1" applyFill="1" applyBorder="1"/>
    <xf numFmtId="3" fontId="3" fillId="5" borderId="1" xfId="0" applyNumberFormat="1" applyFont="1" applyFill="1" applyBorder="1"/>
    <xf numFmtId="3" fontId="3" fillId="4" borderId="1" xfId="0" applyNumberFormat="1" applyFont="1" applyFill="1" applyBorder="1" applyAlignment="1">
      <alignment horizontal="center"/>
    </xf>
    <xf numFmtId="41" fontId="3" fillId="5" borderId="1" xfId="2" applyFont="1" applyFill="1" applyBorder="1"/>
    <xf numFmtId="14" fontId="6" fillId="0" borderId="1" xfId="0" applyNumberFormat="1" applyFont="1" applyBorder="1"/>
    <xf numFmtId="0" fontId="6" fillId="0" borderId="0" xfId="0" applyFont="1" applyAlignment="1">
      <alignment wrapText="1"/>
    </xf>
    <xf numFmtId="0" fontId="3" fillId="0" borderId="4" xfId="0" applyFont="1" applyBorder="1"/>
    <xf numFmtId="3" fontId="3" fillId="0" borderId="4" xfId="0" applyNumberFormat="1" applyFont="1" applyBorder="1"/>
    <xf numFmtId="0" fontId="3" fillId="4" borderId="0" xfId="0" applyFont="1" applyFill="1" applyAlignment="1">
      <alignment horizontal="center" vertical="center" wrapText="1"/>
    </xf>
    <xf numFmtId="0" fontId="6" fillId="3" borderId="0" xfId="0" applyFont="1" applyFill="1" applyProtection="1">
      <protection locked="0"/>
    </xf>
    <xf numFmtId="0" fontId="14" fillId="0" borderId="0" xfId="0" applyFont="1"/>
    <xf numFmtId="0" fontId="19" fillId="0" borderId="0" xfId="0" applyFont="1" applyAlignment="1">
      <alignment horizontal="center"/>
    </xf>
    <xf numFmtId="3" fontId="14" fillId="0" borderId="0" xfId="0" applyNumberFormat="1" applyFont="1"/>
    <xf numFmtId="0" fontId="14" fillId="0" borderId="2" xfId="0" applyFont="1" applyBorder="1"/>
    <xf numFmtId="0" fontId="14" fillId="0" borderId="1" xfId="0" applyFont="1" applyBorder="1"/>
    <xf numFmtId="3" fontId="14" fillId="0" borderId="1" xfId="0" applyNumberFormat="1" applyFont="1" applyBorder="1"/>
    <xf numFmtId="3" fontId="14" fillId="0" borderId="1" xfId="0" applyNumberFormat="1" applyFont="1" applyBorder="1" applyAlignment="1">
      <alignment vertical="center" wrapText="1"/>
    </xf>
    <xf numFmtId="0" fontId="5" fillId="0" borderId="1" xfId="0" applyFont="1" applyBorder="1"/>
    <xf numFmtId="9" fontId="14" fillId="0" borderId="1" xfId="0" applyNumberFormat="1" applyFont="1" applyBorder="1"/>
    <xf numFmtId="3" fontId="5" fillId="0" borderId="1" xfId="0" applyNumberFormat="1" applyFont="1" applyBorder="1"/>
    <xf numFmtId="170" fontId="6" fillId="8" borderId="1" xfId="1" applyNumberFormat="1" applyFont="1" applyFill="1" applyBorder="1"/>
    <xf numFmtId="167" fontId="15" fillId="8" borderId="1" xfId="1" applyNumberFormat="1" applyFont="1" applyFill="1" applyBorder="1"/>
    <xf numFmtId="170" fontId="3" fillId="10" borderId="1" xfId="1" applyNumberFormat="1" applyFont="1" applyFill="1" applyBorder="1"/>
    <xf numFmtId="170" fontId="6" fillId="3" borderId="0" xfId="1" applyNumberFormat="1" applyFont="1" applyFill="1"/>
    <xf numFmtId="170" fontId="3" fillId="8" borderId="1" xfId="1" applyNumberFormat="1" applyFont="1" applyFill="1" applyBorder="1"/>
    <xf numFmtId="170" fontId="18" fillId="10" borderId="1" xfId="0" applyNumberFormat="1" applyFont="1" applyFill="1" applyBorder="1" applyAlignment="1">
      <alignment vertical="center"/>
    </xf>
    <xf numFmtId="10" fontId="6" fillId="0" borderId="0" xfId="3" applyNumberFormat="1" applyFont="1" applyBorder="1"/>
    <xf numFmtId="171" fontId="6" fillId="0" borderId="0" xfId="3" applyNumberFormat="1" applyFont="1" applyBorder="1"/>
    <xf numFmtId="41" fontId="3" fillId="0" borderId="0" xfId="2" applyFont="1"/>
    <xf numFmtId="41" fontId="6" fillId="0" borderId="0" xfId="0" applyNumberFormat="1" applyFont="1"/>
    <xf numFmtId="170" fontId="0" fillId="0" borderId="0" xfId="0" applyNumberFormat="1"/>
    <xf numFmtId="41" fontId="0" fillId="0" borderId="0" xfId="2" applyFont="1"/>
    <xf numFmtId="10" fontId="6" fillId="0" borderId="1" xfId="3" applyNumberFormat="1" applyFont="1" applyBorder="1"/>
    <xf numFmtId="3" fontId="3" fillId="0" borderId="1" xfId="0" applyNumberFormat="1" applyFont="1" applyBorder="1"/>
    <xf numFmtId="10" fontId="3" fillId="0" borderId="1" xfId="3" applyNumberFormat="1" applyFont="1" applyBorder="1"/>
    <xf numFmtId="41" fontId="6" fillId="0" borderId="0" xfId="2" applyFont="1"/>
    <xf numFmtId="0" fontId="23" fillId="3" borderId="0" xfId="4" applyFont="1" applyFill="1"/>
    <xf numFmtId="0" fontId="23" fillId="3" borderId="0" xfId="4" applyFont="1" applyFill="1" applyProtection="1">
      <protection locked="0"/>
    </xf>
    <xf numFmtId="0" fontId="10" fillId="12" borderId="0" xfId="4" applyFont="1" applyFill="1" applyAlignment="1">
      <alignment horizontal="center" vertical="top" wrapText="1"/>
    </xf>
    <xf numFmtId="0" fontId="2" fillId="3" borderId="0" xfId="4" applyFont="1" applyFill="1" applyAlignment="1">
      <alignment horizontal="center"/>
    </xf>
    <xf numFmtId="0" fontId="8" fillId="3" borderId="11" xfId="4" applyFont="1" applyFill="1" applyBorder="1" applyAlignment="1">
      <alignment horizontal="center"/>
    </xf>
    <xf numFmtId="0" fontId="25" fillId="3" borderId="0" xfId="4" applyFont="1" applyFill="1" applyProtection="1">
      <protection locked="0"/>
    </xf>
    <xf numFmtId="0" fontId="16" fillId="3" borderId="0" xfId="4" applyFont="1" applyFill="1" applyProtection="1">
      <protection locked="0"/>
    </xf>
    <xf numFmtId="0" fontId="22" fillId="3" borderId="0" xfId="4" applyFont="1" applyFill="1" applyAlignment="1">
      <alignment horizontal="center"/>
    </xf>
    <xf numFmtId="0" fontId="8" fillId="3" borderId="0" xfId="4" applyFont="1" applyFill="1" applyAlignment="1">
      <alignment horizontal="center"/>
    </xf>
    <xf numFmtId="0" fontId="8" fillId="3" borderId="5" xfId="4" applyFont="1" applyFill="1" applyBorder="1" applyAlignment="1">
      <alignment horizontal="center"/>
    </xf>
    <xf numFmtId="0" fontId="8" fillId="4" borderId="0" xfId="4" applyFont="1" applyFill="1" applyAlignment="1">
      <alignment horizontal="center"/>
    </xf>
    <xf numFmtId="0" fontId="26" fillId="3" borderId="1" xfId="4" applyFont="1" applyFill="1" applyBorder="1" applyAlignment="1" applyProtection="1">
      <alignment horizontal="center"/>
      <protection locked="0"/>
    </xf>
    <xf numFmtId="0" fontId="2" fillId="3" borderId="44" xfId="4" applyFont="1" applyFill="1" applyBorder="1" applyAlignment="1">
      <alignment horizontal="center"/>
    </xf>
    <xf numFmtId="0" fontId="2" fillId="3" borderId="0" xfId="4" applyFont="1" applyFill="1" applyAlignment="1">
      <alignment vertical="top"/>
    </xf>
    <xf numFmtId="0" fontId="22" fillId="3" borderId="5" xfId="4" applyFont="1" applyFill="1" applyBorder="1" applyAlignment="1">
      <alignment horizontal="center"/>
    </xf>
    <xf numFmtId="0" fontId="22" fillId="4" borderId="0" xfId="4" applyFont="1" applyFill="1" applyAlignment="1">
      <alignment horizontal="center"/>
    </xf>
    <xf numFmtId="0" fontId="26" fillId="3" borderId="9" xfId="4" applyFont="1" applyFill="1" applyBorder="1" applyAlignment="1" applyProtection="1">
      <alignment horizontal="center" vertical="center"/>
      <protection locked="0"/>
    </xf>
    <xf numFmtId="167" fontId="25" fillId="3" borderId="0" xfId="5" applyNumberFormat="1" applyFont="1" applyFill="1" applyProtection="1">
      <protection locked="0"/>
    </xf>
    <xf numFmtId="167" fontId="16" fillId="3" borderId="0" xfId="5" applyNumberFormat="1" applyFont="1" applyFill="1" applyProtection="1">
      <protection locked="0"/>
    </xf>
    <xf numFmtId="0" fontId="2" fillId="3" borderId="44" xfId="4" applyFont="1" applyFill="1" applyBorder="1" applyAlignment="1">
      <alignment horizontal="center" vertical="top"/>
    </xf>
    <xf numFmtId="0" fontId="2" fillId="3" borderId="5" xfId="4" applyFont="1" applyFill="1" applyBorder="1" applyAlignment="1">
      <alignment vertical="top"/>
    </xf>
    <xf numFmtId="0" fontId="2" fillId="4" borderId="11" xfId="4" applyFont="1" applyFill="1" applyBorder="1" applyAlignment="1">
      <alignment vertical="top"/>
    </xf>
    <xf numFmtId="0" fontId="2" fillId="3" borderId="44" xfId="4" applyFont="1" applyFill="1" applyBorder="1" applyAlignment="1">
      <alignment vertical="top"/>
    </xf>
    <xf numFmtId="0" fontId="2" fillId="3" borderId="0" xfId="4" applyFont="1" applyFill="1" applyAlignment="1">
      <alignment horizontal="center" vertical="top"/>
    </xf>
    <xf numFmtId="0" fontId="2" fillId="4" borderId="0" xfId="4" applyFont="1" applyFill="1" applyAlignment="1">
      <alignment vertical="top"/>
    </xf>
    <xf numFmtId="0" fontId="7" fillId="4" borderId="0" xfId="4" applyFont="1" applyFill="1" applyAlignment="1">
      <alignment horizontal="left" vertical="center" wrapText="1"/>
    </xf>
    <xf numFmtId="0" fontId="2" fillId="3" borderId="5" xfId="4" applyFont="1" applyFill="1" applyBorder="1" applyAlignment="1">
      <alignment horizontal="center" vertical="top"/>
    </xf>
    <xf numFmtId="0" fontId="2" fillId="4" borderId="0" xfId="4" applyFont="1" applyFill="1" applyAlignment="1">
      <alignment horizontal="center" vertical="top"/>
    </xf>
    <xf numFmtId="3" fontId="3" fillId="4" borderId="44" xfId="4" applyNumberFormat="1" applyFont="1" applyFill="1" applyBorder="1" applyAlignment="1">
      <alignment vertical="center"/>
    </xf>
    <xf numFmtId="3" fontId="3" fillId="4" borderId="0" xfId="4" applyNumberFormat="1" applyFont="1" applyFill="1" applyAlignment="1" applyProtection="1">
      <alignment horizontal="right" vertical="center"/>
      <protection locked="0"/>
    </xf>
    <xf numFmtId="0" fontId="2" fillId="3" borderId="0" xfId="4" applyFont="1" applyFill="1" applyAlignment="1" applyProtection="1">
      <alignment horizontal="center" vertical="center" wrapText="1"/>
      <protection hidden="1"/>
    </xf>
    <xf numFmtId="0" fontId="2" fillId="4" borderId="0" xfId="4" applyFont="1" applyFill="1" applyAlignment="1">
      <alignment horizontal="center" vertical="top" wrapText="1"/>
    </xf>
    <xf numFmtId="0" fontId="7" fillId="4" borderId="0" xfId="4" applyFont="1" applyFill="1" applyAlignment="1">
      <alignment vertical="center" wrapText="1"/>
    </xf>
    <xf numFmtId="0" fontId="9" fillId="14" borderId="0" xfId="4" applyFont="1" applyFill="1"/>
    <xf numFmtId="0" fontId="4" fillId="3" borderId="0" xfId="4" applyFont="1" applyFill="1"/>
    <xf numFmtId="0" fontId="7" fillId="4" borderId="45" xfId="4" applyFont="1" applyFill="1" applyBorder="1" applyAlignment="1">
      <alignment horizontal="left" vertical="center"/>
    </xf>
    <xf numFmtId="0" fontId="7" fillId="4" borderId="46" xfId="4" applyFont="1" applyFill="1" applyBorder="1" applyAlignment="1">
      <alignment horizontal="left" vertical="center"/>
    </xf>
    <xf numFmtId="0" fontId="2" fillId="4" borderId="46" xfId="4" applyFont="1" applyFill="1" applyBorder="1" applyAlignment="1">
      <alignment horizontal="left" vertical="center"/>
    </xf>
    <xf numFmtId="0" fontId="9" fillId="4" borderId="46" xfId="4" applyFont="1" applyFill="1" applyBorder="1" applyAlignment="1">
      <alignment horizontal="center" vertical="center" wrapText="1"/>
    </xf>
    <xf numFmtId="0" fontId="9" fillId="3" borderId="1" xfId="4" applyFont="1" applyFill="1" applyBorder="1" applyAlignment="1" applyProtection="1">
      <alignment horizontal="center" wrapText="1"/>
      <protection locked="0"/>
    </xf>
    <xf numFmtId="0" fontId="9" fillId="3" borderId="0" xfId="4" applyFont="1" applyFill="1"/>
    <xf numFmtId="0" fontId="9" fillId="3" borderId="10" xfId="4" applyFont="1" applyFill="1" applyBorder="1" applyAlignment="1" applyProtection="1">
      <alignment vertical="center" wrapText="1"/>
      <protection hidden="1"/>
    </xf>
    <xf numFmtId="0" fontId="9" fillId="3" borderId="4" xfId="4" applyFont="1" applyFill="1" applyBorder="1" applyAlignment="1" applyProtection="1">
      <alignment vertical="center" wrapText="1"/>
      <protection hidden="1"/>
    </xf>
    <xf numFmtId="0" fontId="12" fillId="3" borderId="4" xfId="4" applyFont="1" applyFill="1" applyBorder="1" applyAlignment="1" applyProtection="1">
      <alignment vertical="center" wrapText="1"/>
      <protection hidden="1"/>
    </xf>
    <xf numFmtId="0" fontId="10" fillId="3" borderId="4" xfId="4" applyFont="1" applyFill="1" applyBorder="1" applyAlignment="1" applyProtection="1">
      <alignment vertical="center" wrapText="1"/>
      <protection hidden="1"/>
    </xf>
    <xf numFmtId="0" fontId="4" fillId="3" borderId="48" xfId="4" applyFont="1" applyFill="1" applyBorder="1" applyAlignment="1" applyProtection="1">
      <alignment horizontal="center" vertical="center"/>
      <protection hidden="1"/>
    </xf>
    <xf numFmtId="0" fontId="4" fillId="4" borderId="7" xfId="4" applyFont="1" applyFill="1" applyBorder="1" applyAlignment="1" applyProtection="1">
      <alignment horizontal="center" vertical="center" wrapText="1"/>
      <protection hidden="1"/>
    </xf>
    <xf numFmtId="0" fontId="4" fillId="3" borderId="7" xfId="4" applyFont="1" applyFill="1" applyBorder="1" applyAlignment="1" applyProtection="1">
      <alignment horizontal="center" vertical="center" wrapText="1"/>
      <protection hidden="1"/>
    </xf>
    <xf numFmtId="0" fontId="9" fillId="4" borderId="7" xfId="4" applyFont="1" applyFill="1" applyBorder="1" applyAlignment="1" applyProtection="1">
      <alignment horizontal="center" vertical="center" wrapText="1"/>
      <protection hidden="1"/>
    </xf>
    <xf numFmtId="0" fontId="4" fillId="4" borderId="48" xfId="4" applyFont="1" applyFill="1" applyBorder="1" applyAlignment="1" applyProtection="1">
      <alignment horizontal="center" vertical="center"/>
      <protection hidden="1"/>
    </xf>
    <xf numFmtId="167" fontId="24" fillId="3" borderId="0" xfId="5" applyNumberFormat="1" applyFont="1" applyFill="1" applyProtection="1">
      <protection locked="0"/>
    </xf>
    <xf numFmtId="0" fontId="4" fillId="3" borderId="54" xfId="4" applyFont="1" applyFill="1" applyBorder="1" applyAlignment="1" applyProtection="1">
      <alignment horizontal="center" vertical="center"/>
      <protection hidden="1"/>
    </xf>
    <xf numFmtId="0" fontId="4" fillId="4" borderId="60" xfId="4" applyFont="1" applyFill="1" applyBorder="1" applyAlignment="1" applyProtection="1">
      <alignment horizontal="center" vertical="center"/>
      <protection hidden="1"/>
    </xf>
    <xf numFmtId="0" fontId="4" fillId="4" borderId="7" xfId="4" applyFont="1" applyFill="1" applyBorder="1" applyAlignment="1" applyProtection="1">
      <alignment horizontal="center" vertical="center"/>
      <protection hidden="1"/>
    </xf>
    <xf numFmtId="0" fontId="9" fillId="3" borderId="7" xfId="4" applyFont="1" applyFill="1" applyBorder="1" applyAlignment="1" applyProtection="1">
      <alignment horizontal="center" vertical="center" wrapText="1"/>
      <protection hidden="1"/>
    </xf>
    <xf numFmtId="0" fontId="4" fillId="3" borderId="7" xfId="4" applyFont="1" applyFill="1" applyBorder="1" applyAlignment="1" applyProtection="1">
      <alignment horizontal="center" vertical="center"/>
      <protection hidden="1"/>
    </xf>
    <xf numFmtId="0" fontId="4" fillId="3" borderId="63" xfId="4" applyFont="1" applyFill="1" applyBorder="1" applyAlignment="1" applyProtection="1">
      <alignment horizontal="center" vertical="center" wrapText="1"/>
      <protection hidden="1"/>
    </xf>
    <xf numFmtId="0" fontId="4" fillId="4" borderId="9" xfId="4" applyFont="1" applyFill="1" applyBorder="1" applyAlignment="1" applyProtection="1">
      <alignment horizontal="center" vertical="center" wrapText="1"/>
      <protection hidden="1"/>
    </xf>
    <xf numFmtId="0" fontId="4" fillId="4" borderId="9" xfId="4" applyFont="1" applyFill="1" applyBorder="1" applyAlignment="1" applyProtection="1">
      <alignment horizontal="center" vertical="center"/>
      <protection hidden="1"/>
    </xf>
    <xf numFmtId="0" fontId="9" fillId="3" borderId="63" xfId="4" applyFont="1" applyFill="1" applyBorder="1" applyAlignment="1" applyProtection="1">
      <alignment horizontal="center" vertical="center" wrapText="1"/>
      <protection hidden="1"/>
    </xf>
    <xf numFmtId="0" fontId="4" fillId="3" borderId="7" xfId="4" applyFont="1" applyFill="1" applyBorder="1" applyAlignment="1">
      <alignment horizontal="center" vertical="center"/>
    </xf>
    <xf numFmtId="0" fontId="9" fillId="3" borderId="9" xfId="4" applyFont="1" applyFill="1" applyBorder="1" applyAlignment="1" applyProtection="1">
      <alignment horizontal="center" vertical="center"/>
      <protection hidden="1"/>
    </xf>
    <xf numFmtId="0" fontId="9" fillId="3" borderId="7" xfId="4" applyFont="1" applyFill="1" applyBorder="1" applyAlignment="1" applyProtection="1">
      <alignment horizontal="center" vertical="center"/>
      <protection hidden="1"/>
    </xf>
    <xf numFmtId="3" fontId="9" fillId="3" borderId="1" xfId="4" applyNumberFormat="1" applyFont="1" applyFill="1" applyBorder="1" applyAlignment="1" applyProtection="1">
      <alignment horizontal="center"/>
      <protection locked="0"/>
    </xf>
    <xf numFmtId="3" fontId="9" fillId="3" borderId="9" xfId="4" applyNumberFormat="1" applyFont="1" applyFill="1" applyBorder="1" applyAlignment="1">
      <alignment horizontal="center"/>
    </xf>
    <xf numFmtId="3" fontId="14" fillId="3" borderId="9" xfId="4" applyNumberFormat="1" applyFont="1" applyFill="1" applyBorder="1" applyAlignment="1" applyProtection="1">
      <alignment horizontal="center"/>
      <protection locked="0"/>
    </xf>
    <xf numFmtId="3" fontId="2" fillId="0" borderId="8" xfId="4" applyNumberFormat="1" applyFont="1" applyBorder="1" applyAlignment="1" applyProtection="1">
      <alignment horizontal="center"/>
      <protection locked="0"/>
    </xf>
    <xf numFmtId="3" fontId="2" fillId="3" borderId="8" xfId="4" applyNumberFormat="1" applyFont="1" applyFill="1" applyBorder="1" applyAlignment="1" applyProtection="1">
      <alignment horizontal="left" vertical="center"/>
      <protection locked="0"/>
    </xf>
    <xf numFmtId="49" fontId="9" fillId="3" borderId="43" xfId="5" applyNumberFormat="1" applyFont="1" applyFill="1" applyBorder="1" applyAlignment="1" applyProtection="1">
      <alignment horizontal="center"/>
      <protection locked="0"/>
    </xf>
    <xf numFmtId="3" fontId="14" fillId="3" borderId="8" xfId="4" applyNumberFormat="1" applyFont="1" applyFill="1" applyBorder="1" applyAlignment="1">
      <alignment horizontal="center"/>
    </xf>
    <xf numFmtId="0" fontId="10" fillId="3" borderId="45" xfId="4" applyFont="1" applyFill="1" applyBorder="1" applyAlignment="1">
      <alignment horizontal="center" vertical="top"/>
    </xf>
    <xf numFmtId="0" fontId="10" fillId="3" borderId="46" xfId="4" applyFont="1" applyFill="1" applyBorder="1" applyAlignment="1">
      <alignment horizontal="left" vertical="top"/>
    </xf>
    <xf numFmtId="0" fontId="21" fillId="3" borderId="46" xfId="4" applyFont="1" applyFill="1" applyBorder="1" applyAlignment="1">
      <alignment horizontal="center"/>
    </xf>
    <xf numFmtId="0" fontId="21" fillId="3" borderId="1" xfId="4" applyFont="1" applyFill="1" applyBorder="1" applyAlignment="1" applyProtection="1">
      <alignment horizontal="center"/>
      <protection locked="0"/>
    </xf>
    <xf numFmtId="0" fontId="9" fillId="3" borderId="46" xfId="4" applyFont="1" applyFill="1" applyBorder="1" applyAlignment="1">
      <alignment horizontal="left"/>
    </xf>
    <xf numFmtId="0" fontId="6" fillId="3" borderId="11" xfId="4" applyFill="1" applyBorder="1"/>
    <xf numFmtId="0" fontId="6" fillId="3" borderId="0" xfId="4" applyFill="1"/>
    <xf numFmtId="0" fontId="6" fillId="15" borderId="0" xfId="4" applyFill="1"/>
    <xf numFmtId="0" fontId="32" fillId="4" borderId="63" xfId="6" applyFont="1" applyFill="1" applyBorder="1" applyAlignment="1" applyProtection="1">
      <alignment horizontal="center" vertical="center"/>
      <protection hidden="1"/>
    </xf>
    <xf numFmtId="0" fontId="32" fillId="4" borderId="9" xfId="6" applyFont="1" applyFill="1" applyBorder="1" applyAlignment="1" applyProtection="1">
      <alignment horizontal="center" vertical="center" wrapText="1"/>
      <protection hidden="1"/>
    </xf>
    <xf numFmtId="0" fontId="32" fillId="3" borderId="7" xfId="6" applyFont="1" applyFill="1" applyBorder="1" applyAlignment="1" applyProtection="1">
      <alignment horizontal="center" vertical="center"/>
      <protection hidden="1"/>
    </xf>
    <xf numFmtId="0" fontId="32" fillId="3" borderId="63" xfId="6" applyFont="1" applyFill="1" applyBorder="1" applyAlignment="1" applyProtection="1">
      <alignment horizontal="center" vertical="center"/>
      <protection hidden="1"/>
    </xf>
    <xf numFmtId="0" fontId="32" fillId="4" borderId="7" xfId="6" applyFont="1" applyFill="1" applyBorder="1" applyAlignment="1" applyProtection="1">
      <alignment horizontal="center" vertical="center"/>
      <protection hidden="1"/>
    </xf>
    <xf numFmtId="0" fontId="32" fillId="3" borderId="7" xfId="6" applyFont="1" applyFill="1" applyBorder="1" applyAlignment="1" applyProtection="1">
      <alignment horizontal="center" vertical="center"/>
    </xf>
    <xf numFmtId="0" fontId="32" fillId="3" borderId="7" xfId="6" applyFont="1" applyFill="1" applyBorder="1" applyAlignment="1" applyProtection="1">
      <alignment horizontal="center" vertical="center" wrapText="1"/>
      <protection hidden="1"/>
    </xf>
    <xf numFmtId="0" fontId="32" fillId="4" borderId="7" xfId="6" applyFont="1" applyFill="1" applyBorder="1" applyAlignment="1" applyProtection="1">
      <alignment horizontal="center" vertical="center"/>
    </xf>
    <xf numFmtId="0" fontId="6" fillId="3" borderId="5" xfId="4" applyFill="1" applyBorder="1" applyAlignment="1">
      <alignment horizontal="center"/>
    </xf>
    <xf numFmtId="0" fontId="32" fillId="4" borderId="7" xfId="6" applyFont="1" applyFill="1" applyBorder="1" applyAlignment="1" applyProtection="1">
      <alignment horizontal="center" vertical="center" wrapText="1"/>
      <protection hidden="1"/>
    </xf>
    <xf numFmtId="0" fontId="33" fillId="4" borderId="7" xfId="6" applyFont="1" applyFill="1" applyBorder="1" applyAlignment="1" applyProtection="1">
      <alignment horizontal="center" vertical="center" wrapText="1"/>
      <protection hidden="1"/>
    </xf>
    <xf numFmtId="0" fontId="32" fillId="3" borderId="63" xfId="6" applyFont="1" applyFill="1" applyBorder="1" applyAlignment="1" applyProtection="1">
      <alignment horizontal="center" vertical="center" wrapText="1"/>
      <protection hidden="1"/>
    </xf>
    <xf numFmtId="0" fontId="32" fillId="4" borderId="48" xfId="6" applyFont="1" applyFill="1" applyBorder="1" applyAlignment="1" applyProtection="1">
      <alignment horizontal="center" vertical="center"/>
      <protection hidden="1"/>
    </xf>
    <xf numFmtId="0" fontId="32" fillId="3" borderId="48" xfId="6" applyFont="1" applyFill="1" applyBorder="1" applyAlignment="1" applyProtection="1">
      <alignment horizontal="center" vertical="center"/>
      <protection hidden="1"/>
    </xf>
    <xf numFmtId="0" fontId="6" fillId="4" borderId="46" xfId="4" applyFill="1" applyBorder="1" applyAlignment="1">
      <alignment vertical="center"/>
    </xf>
    <xf numFmtId="0" fontId="6" fillId="4" borderId="0" xfId="4" applyFill="1"/>
    <xf numFmtId="0" fontId="6" fillId="4" borderId="0" xfId="4" applyFill="1" applyAlignment="1">
      <alignment horizontal="center" wrapText="1"/>
    </xf>
    <xf numFmtId="0" fontId="6" fillId="3" borderId="5" xfId="4" applyFill="1" applyBorder="1" applyAlignment="1">
      <alignment horizontal="center" wrapText="1"/>
    </xf>
    <xf numFmtId="0" fontId="6" fillId="3" borderId="0" xfId="4" applyFill="1" applyAlignment="1">
      <alignment horizontal="center" wrapText="1"/>
    </xf>
    <xf numFmtId="0" fontId="6" fillId="4" borderId="0" xfId="4" applyFill="1" applyAlignment="1">
      <alignment vertical="center"/>
    </xf>
    <xf numFmtId="0" fontId="6" fillId="4" borderId="11" xfId="4" applyFill="1" applyBorder="1" applyAlignment="1">
      <alignment vertical="center"/>
    </xf>
    <xf numFmtId="0" fontId="6" fillId="4" borderId="8" xfId="4" applyFill="1" applyBorder="1" applyAlignment="1">
      <alignment vertical="center"/>
    </xf>
    <xf numFmtId="0" fontId="6" fillId="3" borderId="0" xfId="4" applyFill="1" applyAlignment="1">
      <alignment vertical="center"/>
    </xf>
    <xf numFmtId="0" fontId="6" fillId="4" borderId="0" xfId="4" applyFill="1" applyAlignment="1">
      <alignment horizontal="center" vertical="center"/>
    </xf>
    <xf numFmtId="0" fontId="6" fillId="3" borderId="44" xfId="4" applyFill="1" applyBorder="1"/>
    <xf numFmtId="0" fontId="6" fillId="4" borderId="11" xfId="4" applyFill="1" applyBorder="1"/>
    <xf numFmtId="0" fontId="6" fillId="3" borderId="43" xfId="4" applyFill="1" applyBorder="1"/>
    <xf numFmtId="0" fontId="6" fillId="3" borderId="8" xfId="4" applyFill="1" applyBorder="1"/>
    <xf numFmtId="0" fontId="34" fillId="0" borderId="0" xfId="0" applyFont="1" applyProtection="1">
      <protection hidden="1"/>
    </xf>
    <xf numFmtId="0" fontId="35" fillId="6" borderId="1" xfId="0" applyFont="1" applyFill="1" applyBorder="1" applyAlignment="1">
      <alignment horizontal="center" vertical="center" wrapText="1"/>
    </xf>
    <xf numFmtId="0" fontId="17" fillId="3" borderId="1" xfId="0" applyFont="1" applyFill="1" applyBorder="1" applyProtection="1">
      <protection locked="0"/>
    </xf>
    <xf numFmtId="169" fontId="17" fillId="3" borderId="1" xfId="1" applyNumberFormat="1" applyFont="1" applyFill="1" applyBorder="1" applyProtection="1">
      <protection locked="0"/>
    </xf>
    <xf numFmtId="169" fontId="3" fillId="5" borderId="1" xfId="0" applyNumberFormat="1" applyFont="1" applyFill="1" applyBorder="1"/>
    <xf numFmtId="3" fontId="6" fillId="3" borderId="1" xfId="0" applyNumberFormat="1" applyFont="1" applyFill="1" applyBorder="1" applyProtection="1">
      <protection locked="0"/>
    </xf>
    <xf numFmtId="0" fontId="18" fillId="7" borderId="1" xfId="0" applyFont="1" applyFill="1" applyBorder="1"/>
    <xf numFmtId="3" fontId="18" fillId="7" borderId="1" xfId="0" applyNumberFormat="1" applyFont="1" applyFill="1" applyBorder="1"/>
    <xf numFmtId="3" fontId="6" fillId="16" borderId="0" xfId="0" applyNumberFormat="1" applyFont="1" applyFill="1" applyAlignment="1">
      <alignment wrapText="1"/>
    </xf>
    <xf numFmtId="3" fontId="6" fillId="16" borderId="0" xfId="0" applyNumberFormat="1" applyFont="1" applyFill="1"/>
    <xf numFmtId="41" fontId="6" fillId="16" borderId="0" xfId="0" applyNumberFormat="1" applyFont="1" applyFill="1"/>
    <xf numFmtId="167" fontId="6" fillId="0" borderId="0" xfId="0" applyNumberFormat="1" applyFont="1"/>
    <xf numFmtId="172" fontId="6" fillId="3" borderId="0" xfId="0" applyNumberFormat="1" applyFont="1" applyFill="1" applyProtection="1">
      <protection locked="0"/>
    </xf>
    <xf numFmtId="167" fontId="6" fillId="8" borderId="12" xfId="1" applyNumberFormat="1" applyFont="1" applyFill="1" applyBorder="1"/>
    <xf numFmtId="168" fontId="6" fillId="8" borderId="12" xfId="3" applyNumberFormat="1" applyFont="1" applyFill="1" applyBorder="1"/>
    <xf numFmtId="167" fontId="6" fillId="3" borderId="13" xfId="1" applyNumberFormat="1" applyFont="1" applyFill="1" applyBorder="1" applyProtection="1">
      <protection locked="0"/>
    </xf>
    <xf numFmtId="167" fontId="6" fillId="5" borderId="13" xfId="1" applyNumberFormat="1" applyFont="1" applyFill="1" applyBorder="1"/>
    <xf numFmtId="0" fontId="18" fillId="8" borderId="14" xfId="0" applyFont="1" applyFill="1" applyBorder="1"/>
    <xf numFmtId="167" fontId="18" fillId="8" borderId="12" xfId="1" applyNumberFormat="1" applyFont="1" applyFill="1" applyBorder="1"/>
    <xf numFmtId="0" fontId="6" fillId="8" borderId="12" xfId="0" applyFont="1" applyFill="1" applyBorder="1"/>
    <xf numFmtId="167" fontId="6" fillId="3" borderId="12" xfId="1" applyNumberFormat="1" applyFont="1" applyFill="1" applyBorder="1" applyProtection="1">
      <protection locked="0"/>
    </xf>
    <xf numFmtId="0" fontId="6" fillId="7" borderId="12" xfId="0" applyFont="1" applyFill="1" applyBorder="1"/>
    <xf numFmtId="167" fontId="18" fillId="7" borderId="12" xfId="0" applyNumberFormat="1" applyFont="1" applyFill="1" applyBorder="1"/>
    <xf numFmtId="167" fontId="18" fillId="8" borderId="12" xfId="0" applyNumberFormat="1" applyFont="1" applyFill="1" applyBorder="1" applyProtection="1">
      <protection locked="0"/>
    </xf>
    <xf numFmtId="0" fontId="38" fillId="0" borderId="0" xfId="0" applyFont="1" applyAlignment="1">
      <alignment vertical="center"/>
    </xf>
    <xf numFmtId="0" fontId="37" fillId="0" borderId="0" xfId="0" applyFont="1" applyAlignment="1">
      <alignment vertical="center"/>
    </xf>
    <xf numFmtId="0" fontId="38" fillId="9" borderId="81" xfId="0" applyFont="1" applyFill="1" applyBorder="1" applyAlignment="1">
      <alignment vertical="center"/>
    </xf>
    <xf numFmtId="0" fontId="37" fillId="9" borderId="81" xfId="0" applyFont="1" applyFill="1" applyBorder="1" applyAlignment="1">
      <alignment vertical="center" wrapText="1"/>
    </xf>
    <xf numFmtId="0" fontId="37" fillId="0" borderId="0" xfId="0" applyFont="1" applyAlignment="1">
      <alignment vertical="center" wrapText="1"/>
    </xf>
    <xf numFmtId="0" fontId="37" fillId="0" borderId="81"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41" fontId="37" fillId="0" borderId="0" xfId="0" applyNumberFormat="1" applyFont="1" applyAlignment="1">
      <alignment horizontal="right" vertical="center"/>
    </xf>
    <xf numFmtId="41" fontId="37" fillId="0" borderId="0" xfId="2" applyFont="1" applyAlignment="1">
      <alignment horizontal="right" vertical="center"/>
    </xf>
    <xf numFmtId="41" fontId="38" fillId="9" borderId="81" xfId="2" applyFont="1" applyFill="1" applyBorder="1" applyAlignment="1">
      <alignment horizontal="right" vertical="center"/>
    </xf>
    <xf numFmtId="41" fontId="38" fillId="9" borderId="81" xfId="0" applyNumberFormat="1" applyFont="1" applyFill="1" applyBorder="1" applyAlignment="1">
      <alignment horizontal="right" vertical="center"/>
    </xf>
    <xf numFmtId="41" fontId="37" fillId="0" borderId="81" xfId="2" applyFont="1" applyBorder="1" applyAlignment="1">
      <alignment horizontal="right" vertical="center"/>
    </xf>
    <xf numFmtId="166" fontId="37" fillId="0" borderId="0" xfId="2" applyNumberFormat="1" applyFont="1" applyAlignment="1">
      <alignment horizontal="right" vertical="center"/>
    </xf>
    <xf numFmtId="41" fontId="37" fillId="0" borderId="81" xfId="0" applyNumberFormat="1" applyFont="1" applyBorder="1" applyAlignment="1">
      <alignment horizontal="right" vertical="center"/>
    </xf>
    <xf numFmtId="41" fontId="38" fillId="0" borderId="0" xfId="2" applyFont="1" applyAlignment="1">
      <alignment horizontal="right" vertical="center"/>
    </xf>
    <xf numFmtId="41" fontId="38" fillId="0" borderId="0" xfId="0" applyNumberFormat="1" applyFont="1" applyAlignment="1">
      <alignment vertical="center"/>
    </xf>
    <xf numFmtId="0" fontId="5" fillId="0" borderId="1" xfId="0" applyFont="1" applyBorder="1" applyAlignment="1">
      <alignment horizontal="left"/>
    </xf>
    <xf numFmtId="171" fontId="6" fillId="0" borderId="0" xfId="3" applyNumberFormat="1" applyFont="1"/>
    <xf numFmtId="173" fontId="3" fillId="8" borderId="1" xfId="0" applyNumberFormat="1" applyFont="1" applyFill="1" applyBorder="1" applyAlignment="1" applyProtection="1">
      <alignment horizontal="center"/>
      <protection hidden="1"/>
    </xf>
    <xf numFmtId="173" fontId="6" fillId="3" borderId="1" xfId="0" applyNumberFormat="1" applyFont="1" applyFill="1" applyBorder="1" applyAlignment="1" applyProtection="1">
      <alignment horizontal="right"/>
      <protection hidden="1"/>
    </xf>
    <xf numFmtId="9" fontId="6" fillId="3" borderId="1" xfId="3" applyFont="1" applyFill="1" applyBorder="1" applyAlignment="1" applyProtection="1">
      <alignment horizontal="right"/>
      <protection hidden="1"/>
    </xf>
    <xf numFmtId="0" fontId="6" fillId="3" borderId="0" xfId="0" applyFont="1" applyFill="1" applyProtection="1">
      <protection hidden="1"/>
    </xf>
    <xf numFmtId="0" fontId="17" fillId="3" borderId="0" xfId="0" applyFont="1" applyFill="1"/>
    <xf numFmtId="41" fontId="6" fillId="3" borderId="1" xfId="2" applyFont="1" applyFill="1" applyBorder="1" applyAlignment="1" applyProtection="1">
      <alignment horizontal="right"/>
      <protection hidden="1"/>
    </xf>
    <xf numFmtId="41" fontId="3" fillId="0" borderId="0" xfId="0" applyNumberFormat="1" applyFont="1"/>
    <xf numFmtId="170" fontId="6" fillId="0" borderId="0" xfId="0" applyNumberFormat="1" applyFont="1"/>
    <xf numFmtId="0" fontId="6" fillId="2" borderId="0" xfId="0" applyFont="1" applyFill="1" applyProtection="1">
      <protection hidden="1"/>
    </xf>
    <xf numFmtId="0" fontId="37" fillId="0" borderId="0" xfId="0" applyFont="1"/>
    <xf numFmtId="0" fontId="39" fillId="3" borderId="0" xfId="0" applyFont="1" applyFill="1"/>
    <xf numFmtId="0" fontId="3" fillId="5" borderId="6" xfId="0" applyFont="1" applyFill="1" applyBorder="1" applyAlignment="1" applyProtection="1">
      <alignment horizontal="left"/>
      <protection hidden="1"/>
    </xf>
    <xf numFmtId="0" fontId="3" fillId="5" borderId="4" xfId="0" applyFont="1" applyFill="1" applyBorder="1" applyAlignment="1" applyProtection="1">
      <alignment horizontal="left"/>
      <protection hidden="1"/>
    </xf>
    <xf numFmtId="3" fontId="6" fillId="5" borderId="1" xfId="0" applyNumberFormat="1" applyFont="1" applyFill="1" applyBorder="1" applyProtection="1">
      <protection hidden="1"/>
    </xf>
    <xf numFmtId="0" fontId="6" fillId="5" borderId="5" xfId="0" applyFont="1" applyFill="1" applyBorder="1" applyAlignment="1" applyProtection="1">
      <alignment horizontal="left"/>
      <protection hidden="1"/>
    </xf>
    <xf numFmtId="0" fontId="6" fillId="5" borderId="0" xfId="0" applyFont="1" applyFill="1" applyAlignment="1" applyProtection="1">
      <alignment horizontal="left"/>
      <protection hidden="1"/>
    </xf>
    <xf numFmtId="3" fontId="6" fillId="5" borderId="7" xfId="0" applyNumberFormat="1" applyFont="1" applyFill="1" applyBorder="1" applyProtection="1">
      <protection hidden="1"/>
    </xf>
    <xf numFmtId="0" fontId="3" fillId="8" borderId="5" xfId="0" applyFont="1" applyFill="1" applyBorder="1" applyProtection="1">
      <protection hidden="1"/>
    </xf>
    <xf numFmtId="0" fontId="3" fillId="8" borderId="0" xfId="0" applyFont="1" applyFill="1" applyProtection="1">
      <protection hidden="1"/>
    </xf>
    <xf numFmtId="3" fontId="3" fillId="8" borderId="7" xfId="0" applyNumberFormat="1" applyFont="1" applyFill="1" applyBorder="1" applyProtection="1">
      <protection hidden="1"/>
    </xf>
    <xf numFmtId="0" fontId="40" fillId="8" borderId="0" xfId="0" applyFont="1" applyFill="1" applyProtection="1">
      <protection hidden="1"/>
    </xf>
    <xf numFmtId="3" fontId="6" fillId="8" borderId="7" xfId="0" applyNumberFormat="1" applyFont="1" applyFill="1" applyBorder="1" applyProtection="1">
      <protection hidden="1"/>
    </xf>
    <xf numFmtId="0" fontId="6" fillId="8" borderId="5" xfId="0" applyFont="1" applyFill="1" applyBorder="1" applyProtection="1">
      <protection hidden="1"/>
    </xf>
    <xf numFmtId="167" fontId="6" fillId="8" borderId="0" xfId="1" applyNumberFormat="1" applyFont="1" applyFill="1" applyBorder="1" applyProtection="1">
      <protection locked="0" hidden="1"/>
    </xf>
    <xf numFmtId="3" fontId="6" fillId="8" borderId="7" xfId="0" applyNumberFormat="1" applyFont="1" applyFill="1" applyBorder="1" applyProtection="1">
      <protection locked="0" hidden="1"/>
    </xf>
    <xf numFmtId="0" fontId="6" fillId="8" borderId="0" xfId="0" applyFont="1" applyFill="1" applyProtection="1">
      <protection hidden="1"/>
    </xf>
    <xf numFmtId="3" fontId="6" fillId="8" borderId="7" xfId="0" applyNumberFormat="1" applyFont="1" applyFill="1" applyBorder="1"/>
    <xf numFmtId="0" fontId="3" fillId="8" borderId="6" xfId="0" applyFont="1" applyFill="1" applyBorder="1" applyProtection="1">
      <protection hidden="1"/>
    </xf>
    <xf numFmtId="0" fontId="3" fillId="8" borderId="4" xfId="0" applyFont="1" applyFill="1" applyBorder="1" applyProtection="1">
      <protection hidden="1"/>
    </xf>
    <xf numFmtId="3" fontId="3" fillId="8" borderId="1" xfId="0" applyNumberFormat="1" applyFont="1" applyFill="1" applyBorder="1" applyProtection="1">
      <protection hidden="1"/>
    </xf>
    <xf numFmtId="0" fontId="3" fillId="7" borderId="6" xfId="0" applyFont="1" applyFill="1" applyBorder="1" applyProtection="1">
      <protection hidden="1"/>
    </xf>
    <xf numFmtId="0" fontId="3" fillId="7" borderId="4" xfId="0" applyFont="1" applyFill="1" applyBorder="1" applyProtection="1">
      <protection hidden="1"/>
    </xf>
    <xf numFmtId="3" fontId="6" fillId="7" borderId="1" xfId="0" applyNumberFormat="1" applyFont="1" applyFill="1" applyBorder="1" applyProtection="1">
      <protection hidden="1"/>
    </xf>
    <xf numFmtId="0" fontId="6" fillId="8" borderId="4" xfId="0" applyFont="1" applyFill="1" applyBorder="1" applyProtection="1">
      <protection hidden="1"/>
    </xf>
    <xf numFmtId="0" fontId="36" fillId="0" borderId="0" xfId="0" applyFont="1"/>
    <xf numFmtId="41" fontId="36" fillId="0" borderId="0" xfId="2" applyFont="1"/>
    <xf numFmtId="3" fontId="6" fillId="17" borderId="0" xfId="0" applyNumberFormat="1" applyFont="1" applyFill="1" applyAlignment="1">
      <alignment wrapText="1"/>
    </xf>
    <xf numFmtId="41" fontId="3" fillId="5" borderId="1" xfId="2" applyFont="1" applyFill="1" applyBorder="1" applyAlignment="1">
      <alignment horizontal="right"/>
    </xf>
    <xf numFmtId="0" fontId="37" fillId="9" borderId="12" xfId="0" applyFont="1" applyFill="1" applyBorder="1" applyAlignment="1">
      <alignment vertical="center" wrapText="1"/>
    </xf>
    <xf numFmtId="41" fontId="6" fillId="0" borderId="0" xfId="0" applyNumberFormat="1" applyFont="1" applyAlignment="1">
      <alignment wrapText="1"/>
    </xf>
    <xf numFmtId="0" fontId="3" fillId="4" borderId="1" xfId="0" applyFont="1" applyFill="1" applyBorder="1" applyAlignment="1">
      <alignment horizontal="center" vertical="center" wrapText="1"/>
    </xf>
    <xf numFmtId="0" fontId="3" fillId="0" borderId="0" xfId="0" applyFont="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4" borderId="1" xfId="0" applyFont="1" applyFill="1" applyBorder="1" applyAlignment="1">
      <alignment horizontal="center"/>
    </xf>
    <xf numFmtId="41" fontId="6" fillId="0" borderId="0" xfId="2" applyFont="1" applyBorder="1"/>
    <xf numFmtId="41" fontId="14" fillId="0" borderId="0" xfId="2" applyFont="1"/>
    <xf numFmtId="3" fontId="36" fillId="0" borderId="0" xfId="0" applyNumberFormat="1" applyFont="1"/>
    <xf numFmtId="3" fontId="3" fillId="17" borderId="1" xfId="0" applyNumberFormat="1" applyFont="1" applyFill="1" applyBorder="1" applyProtection="1">
      <protection hidden="1"/>
    </xf>
    <xf numFmtId="167" fontId="6" fillId="0" borderId="1" xfId="0" applyNumberFormat="1" applyFont="1" applyBorder="1"/>
    <xf numFmtId="0" fontId="6" fillId="0" borderId="0" xfId="0" applyFont="1" applyAlignment="1">
      <alignment horizontal="left" vertical="center"/>
    </xf>
    <xf numFmtId="174" fontId="6" fillId="0" borderId="1" xfId="0" applyNumberFormat="1" applyFont="1" applyBorder="1" applyAlignment="1">
      <alignment vertical="center"/>
    </xf>
    <xf numFmtId="175" fontId="6" fillId="0" borderId="1" xfId="0" applyNumberFormat="1" applyFont="1" applyBorder="1" applyAlignment="1">
      <alignment vertical="center"/>
    </xf>
    <xf numFmtId="174" fontId="3" fillId="5" borderId="1" xfId="0" applyNumberFormat="1" applyFont="1" applyFill="1" applyBorder="1" applyAlignment="1">
      <alignment vertical="center"/>
    </xf>
    <xf numFmtId="41" fontId="17" fillId="0" borderId="0" xfId="2" applyFont="1"/>
    <xf numFmtId="41" fontId="17" fillId="0" borderId="1" xfId="2" applyFont="1" applyBorder="1"/>
    <xf numFmtId="10" fontId="6" fillId="0" borderId="1" xfId="0" applyNumberFormat="1" applyFont="1" applyBorder="1"/>
    <xf numFmtId="9" fontId="6" fillId="0" borderId="1" xfId="0" applyNumberFormat="1" applyFont="1" applyBorder="1"/>
    <xf numFmtId="3" fontId="17" fillId="8" borderId="1" xfId="7" applyNumberFormat="1" applyFont="1" applyFill="1" applyBorder="1" applyAlignment="1" applyProtection="1">
      <alignment wrapText="1"/>
    </xf>
    <xf numFmtId="3" fontId="6" fillId="0" borderId="1" xfId="0" applyNumberFormat="1" applyFont="1" applyBorder="1" applyProtection="1">
      <protection locked="0"/>
    </xf>
    <xf numFmtId="10" fontId="17" fillId="8" borderId="1" xfId="3" applyNumberFormat="1" applyFont="1" applyFill="1" applyBorder="1" applyAlignment="1" applyProtection="1">
      <alignment wrapText="1"/>
    </xf>
    <xf numFmtId="3" fontId="3" fillId="10" borderId="9" xfId="0" applyNumberFormat="1" applyFont="1" applyFill="1" applyBorder="1" applyProtection="1">
      <protection hidden="1"/>
    </xf>
    <xf numFmtId="0" fontId="6" fillId="5" borderId="1" xfId="0" applyFont="1" applyFill="1" applyBorder="1" applyAlignment="1" applyProtection="1">
      <alignment wrapText="1"/>
      <protection hidden="1"/>
    </xf>
    <xf numFmtId="3" fontId="6" fillId="5" borderId="46" xfId="0" applyNumberFormat="1" applyFont="1" applyFill="1" applyBorder="1" applyProtection="1">
      <protection locked="0"/>
    </xf>
    <xf numFmtId="3" fontId="17" fillId="5" borderId="1" xfId="0" applyNumberFormat="1" applyFont="1" applyFill="1" applyBorder="1"/>
    <xf numFmtId="3" fontId="6" fillId="19" borderId="1" xfId="0" applyNumberFormat="1" applyFont="1" applyFill="1" applyBorder="1" applyProtection="1">
      <protection locked="0"/>
    </xf>
    <xf numFmtId="3" fontId="6" fillId="5" borderId="0" xfId="0" applyNumberFormat="1" applyFont="1" applyFill="1" applyProtection="1">
      <protection locked="0"/>
    </xf>
    <xf numFmtId="0" fontId="6" fillId="10" borderId="6" xfId="0" applyFont="1" applyFill="1" applyBorder="1" applyAlignment="1" applyProtection="1">
      <alignment wrapText="1"/>
      <protection hidden="1"/>
    </xf>
    <xf numFmtId="3" fontId="23" fillId="10" borderId="6" xfId="0" applyNumberFormat="1" applyFont="1" applyFill="1" applyBorder="1" applyProtection="1">
      <protection hidden="1"/>
    </xf>
    <xf numFmtId="3" fontId="6" fillId="10" borderId="6" xfId="0" applyNumberFormat="1" applyFont="1" applyFill="1" applyBorder="1" applyProtection="1">
      <protection hidden="1"/>
    </xf>
    <xf numFmtId="3" fontId="6" fillId="10" borderId="1" xfId="0" applyNumberFormat="1" applyFont="1" applyFill="1" applyBorder="1" applyProtection="1">
      <protection hidden="1"/>
    </xf>
    <xf numFmtId="0" fontId="6" fillId="10" borderId="11" xfId="0" applyFont="1" applyFill="1" applyBorder="1"/>
    <xf numFmtId="3" fontId="6" fillId="10" borderId="9" xfId="0" applyNumberFormat="1" applyFont="1" applyFill="1" applyBorder="1" applyProtection="1">
      <protection hidden="1"/>
    </xf>
    <xf numFmtId="0" fontId="6" fillId="5" borderId="46" xfId="0" applyFont="1" applyFill="1" applyBorder="1" applyAlignment="1" applyProtection="1">
      <alignment horizontal="left" vertical="center" wrapText="1"/>
      <protection hidden="1"/>
    </xf>
    <xf numFmtId="3" fontId="6" fillId="5" borderId="46" xfId="0" applyNumberFormat="1" applyFont="1" applyFill="1" applyBorder="1" applyProtection="1">
      <protection hidden="1"/>
    </xf>
    <xf numFmtId="3" fontId="36" fillId="5" borderId="46" xfId="0" applyNumberFormat="1" applyFont="1" applyFill="1" applyBorder="1" applyProtection="1">
      <protection hidden="1"/>
    </xf>
    <xf numFmtId="169" fontId="17" fillId="20" borderId="63" xfId="7" applyNumberFormat="1" applyFont="1" applyFill="1" applyBorder="1"/>
    <xf numFmtId="0" fontId="6" fillId="5" borderId="4" xfId="0" applyFont="1" applyFill="1" applyBorder="1" applyAlignment="1" applyProtection="1">
      <alignment horizontal="left" vertical="center" wrapText="1"/>
      <protection hidden="1"/>
    </xf>
    <xf numFmtId="3" fontId="6" fillId="5" borderId="4" xfId="0" applyNumberFormat="1" applyFont="1" applyFill="1" applyBorder="1" applyProtection="1">
      <protection hidden="1"/>
    </xf>
    <xf numFmtId="3" fontId="36" fillId="5" borderId="4" xfId="0" applyNumberFormat="1" applyFont="1" applyFill="1" applyBorder="1" applyProtection="1">
      <protection hidden="1"/>
    </xf>
    <xf numFmtId="169" fontId="17" fillId="20" borderId="1" xfId="7" applyNumberFormat="1" applyFont="1" applyFill="1" applyBorder="1"/>
    <xf numFmtId="0" fontId="6" fillId="5" borderId="11" xfId="0" applyFont="1" applyFill="1" applyBorder="1" applyAlignment="1" applyProtection="1">
      <alignment horizontal="left" vertical="center" wrapText="1"/>
      <protection hidden="1"/>
    </xf>
    <xf numFmtId="3" fontId="6" fillId="5" borderId="11" xfId="0" applyNumberFormat="1" applyFont="1" applyFill="1" applyBorder="1" applyProtection="1">
      <protection hidden="1"/>
    </xf>
    <xf numFmtId="3" fontId="36" fillId="5" borderId="11" xfId="0" applyNumberFormat="1" applyFont="1" applyFill="1" applyBorder="1" applyProtection="1">
      <protection hidden="1"/>
    </xf>
    <xf numFmtId="169" fontId="17" fillId="20" borderId="9" xfId="7" applyNumberFormat="1" applyFont="1" applyFill="1" applyBorder="1"/>
    <xf numFmtId="0" fontId="6" fillId="3" borderId="0" xfId="0" applyFont="1" applyFill="1" applyProtection="1">
      <protection locked="0" hidden="1"/>
    </xf>
    <xf numFmtId="176" fontId="6" fillId="0" borderId="1" xfId="4" applyNumberFormat="1" applyBorder="1"/>
    <xf numFmtId="0" fontId="41" fillId="18" borderId="63" xfId="0" applyFont="1" applyFill="1" applyBorder="1" applyAlignment="1" applyProtection="1">
      <alignment horizontal="center" vertical="center" wrapText="1"/>
      <protection hidden="1"/>
    </xf>
    <xf numFmtId="10" fontId="3" fillId="0" borderId="0" xfId="0" applyNumberFormat="1" applyFont="1"/>
    <xf numFmtId="169" fontId="3" fillId="0" borderId="0" xfId="0" applyNumberFormat="1" applyFont="1"/>
    <xf numFmtId="14" fontId="0" fillId="17" borderId="0" xfId="0" applyNumberFormat="1" applyFill="1"/>
    <xf numFmtId="0" fontId="41" fillId="18" borderId="1" xfId="0" applyFont="1" applyFill="1" applyBorder="1" applyAlignment="1">
      <alignment horizontal="center" vertical="center" wrapText="1"/>
    </xf>
    <xf numFmtId="169" fontId="41" fillId="18" borderId="1" xfId="8" applyNumberFormat="1" applyFont="1" applyFill="1" applyBorder="1" applyAlignment="1" applyProtection="1">
      <alignment horizontal="center" vertical="center" wrapText="1"/>
    </xf>
    <xf numFmtId="170" fontId="17" fillId="5" borderId="1" xfId="9" applyNumberFormat="1" applyFont="1" applyFill="1" applyBorder="1" applyProtection="1"/>
    <xf numFmtId="169" fontId="18" fillId="5" borderId="1" xfId="8" applyNumberFormat="1" applyFont="1" applyFill="1" applyBorder="1" applyProtection="1"/>
    <xf numFmtId="170" fontId="17" fillId="0" borderId="1" xfId="9" applyNumberFormat="1" applyFont="1" applyFill="1" applyBorder="1" applyProtection="1">
      <protection locked="0"/>
    </xf>
    <xf numFmtId="14" fontId="17" fillId="0" borderId="1" xfId="0" applyNumberFormat="1" applyFont="1" applyBorder="1" applyProtection="1">
      <protection locked="0"/>
    </xf>
    <xf numFmtId="3" fontId="3" fillId="8" borderId="1" xfId="7" applyNumberFormat="1" applyFont="1" applyFill="1" applyBorder="1" applyAlignment="1">
      <alignment horizontal="center" wrapText="1"/>
    </xf>
    <xf numFmtId="176" fontId="3" fillId="0" borderId="1" xfId="0" applyNumberFormat="1" applyFont="1" applyBorder="1"/>
    <xf numFmtId="0" fontId="3" fillId="0" borderId="3" xfId="0" applyFont="1" applyBorder="1"/>
    <xf numFmtId="0" fontId="1" fillId="0" borderId="0" xfId="0" applyFont="1"/>
    <xf numFmtId="165" fontId="6" fillId="0" borderId="0" xfId="2" applyNumberFormat="1" applyFont="1"/>
    <xf numFmtId="164" fontId="6" fillId="0" borderId="0" xfId="0" applyNumberFormat="1" applyFont="1"/>
    <xf numFmtId="14" fontId="6" fillId="0" borderId="0" xfId="0" applyNumberFormat="1" applyFont="1"/>
    <xf numFmtId="165" fontId="6" fillId="0" borderId="0" xfId="0" applyNumberFormat="1" applyFont="1"/>
    <xf numFmtId="0" fontId="1" fillId="0" borderId="1" xfId="0" applyFont="1" applyBorder="1" applyAlignment="1">
      <alignment horizontal="center"/>
    </xf>
    <xf numFmtId="165" fontId="6" fillId="0" borderId="1" xfId="0" applyNumberFormat="1" applyFont="1" applyBorder="1"/>
    <xf numFmtId="165" fontId="6" fillId="0" borderId="11" xfId="0" applyNumberFormat="1" applyFont="1" applyBorder="1"/>
    <xf numFmtId="165" fontId="3" fillId="0" borderId="0" xfId="0" applyNumberFormat="1" applyFont="1"/>
    <xf numFmtId="3" fontId="1" fillId="0" borderId="0" xfId="0" applyNumberFormat="1" applyFont="1"/>
    <xf numFmtId="41" fontId="1" fillId="0" borderId="0" xfId="0" applyNumberFormat="1" applyFont="1"/>
    <xf numFmtId="0" fontId="1" fillId="0" borderId="1" xfId="0" applyFont="1" applyBorder="1"/>
    <xf numFmtId="3" fontId="1" fillId="0" borderId="1" xfId="0" applyNumberFormat="1" applyFont="1" applyBorder="1"/>
    <xf numFmtId="0" fontId="1" fillId="8" borderId="12" xfId="0" applyFont="1" applyFill="1" applyBorder="1"/>
    <xf numFmtId="0" fontId="1" fillId="3" borderId="0" xfId="0" applyFont="1" applyFill="1"/>
    <xf numFmtId="0" fontId="42" fillId="9" borderId="1" xfId="0" applyFont="1" applyFill="1" applyBorder="1" applyAlignment="1">
      <alignment horizontal="center" vertical="center"/>
    </xf>
    <xf numFmtId="0" fontId="42" fillId="9" borderId="1" xfId="0" applyFont="1" applyFill="1" applyBorder="1" applyAlignment="1">
      <alignment horizontal="center" vertical="center" wrapText="1"/>
    </xf>
    <xf numFmtId="0" fontId="43" fillId="21" borderId="1" xfId="0" applyFont="1" applyFill="1" applyBorder="1" applyAlignment="1">
      <alignment vertical="center"/>
    </xf>
    <xf numFmtId="0" fontId="43" fillId="21" borderId="1" xfId="0" applyFont="1" applyFill="1" applyBorder="1" applyAlignment="1">
      <alignment horizontal="right" vertical="center"/>
    </xf>
    <xf numFmtId="0" fontId="42" fillId="21" borderId="1" xfId="0" applyFont="1" applyFill="1" applyBorder="1" applyAlignment="1">
      <alignment vertical="center"/>
    </xf>
    <xf numFmtId="0" fontId="42" fillId="21" borderId="1" xfId="0" applyFont="1" applyFill="1" applyBorder="1" applyAlignment="1">
      <alignment horizontal="right" vertical="center"/>
    </xf>
    <xf numFmtId="3" fontId="1" fillId="0" borderId="4" xfId="0" applyNumberFormat="1" applyFont="1" applyBorder="1" applyAlignment="1">
      <alignment wrapText="1"/>
    </xf>
    <xf numFmtId="3" fontId="1" fillId="0" borderId="0" xfId="0" applyNumberFormat="1" applyFont="1" applyAlignment="1">
      <alignment wrapText="1"/>
    </xf>
    <xf numFmtId="0" fontId="6" fillId="17" borderId="0" xfId="0" applyFont="1" applyFill="1"/>
    <xf numFmtId="3" fontId="6" fillId="17" borderId="0" xfId="0" applyNumberFormat="1" applyFont="1" applyFill="1"/>
    <xf numFmtId="0" fontId="1" fillId="0" borderId="4" xfId="0" applyFont="1" applyBorder="1"/>
    <xf numFmtId="41" fontId="6" fillId="0" borderId="0" xfId="2" applyFont="1" applyAlignment="1">
      <alignment horizontal="right"/>
    </xf>
    <xf numFmtId="176" fontId="1" fillId="0" borderId="0" xfId="10" applyNumberFormat="1"/>
    <xf numFmtId="3" fontId="43" fillId="21" borderId="1" xfId="0" applyNumberFormat="1" applyFont="1" applyFill="1" applyBorder="1" applyAlignment="1">
      <alignment horizontal="right" vertical="center"/>
    </xf>
    <xf numFmtId="3" fontId="42" fillId="21" borderId="1" xfId="0" applyNumberFormat="1" applyFont="1" applyFill="1" applyBorder="1" applyAlignment="1">
      <alignment horizontal="right" vertical="center"/>
    </xf>
    <xf numFmtId="10" fontId="43" fillId="21" borderId="1" xfId="3" applyNumberFormat="1" applyFont="1" applyFill="1" applyBorder="1" applyAlignment="1">
      <alignment horizontal="right" vertical="center"/>
    </xf>
    <xf numFmtId="0" fontId="17" fillId="0" borderId="16" xfId="0" applyFont="1" applyBorder="1" applyAlignment="1" applyProtection="1">
      <alignment horizontal="center" wrapText="1"/>
      <protection locked="0"/>
    </xf>
    <xf numFmtId="0" fontId="17" fillId="0" borderId="17" xfId="0" applyFont="1" applyBorder="1" applyAlignment="1" applyProtection="1">
      <alignment horizontal="center" wrapText="1"/>
      <protection locked="0"/>
    </xf>
    <xf numFmtId="0" fontId="6" fillId="0" borderId="19" xfId="0" applyFont="1" applyBorder="1" applyAlignment="1">
      <alignment horizontal="left" vertical="center" wrapText="1"/>
    </xf>
    <xf numFmtId="10" fontId="6" fillId="0" borderId="21" xfId="3" applyNumberFormat="1" applyFont="1" applyFill="1" applyBorder="1" applyAlignment="1">
      <alignment horizontal="right"/>
    </xf>
    <xf numFmtId="167" fontId="6" fillId="0" borderId="28" xfId="1" applyNumberFormat="1" applyFont="1" applyFill="1" applyBorder="1" applyAlignment="1">
      <alignment horizontal="left"/>
    </xf>
    <xf numFmtId="167" fontId="6" fillId="0" borderId="25" xfId="1" applyNumberFormat="1" applyFont="1" applyFill="1" applyBorder="1" applyAlignment="1">
      <alignment horizontal="left"/>
    </xf>
    <xf numFmtId="0" fontId="6" fillId="0" borderId="15" xfId="0" applyFont="1" applyBorder="1" applyAlignment="1">
      <alignment horizontal="left" vertical="center" wrapText="1"/>
    </xf>
    <xf numFmtId="10" fontId="6" fillId="0" borderId="22" xfId="3" applyNumberFormat="1" applyFont="1" applyFill="1" applyBorder="1" applyAlignment="1">
      <alignment horizontal="right"/>
    </xf>
    <xf numFmtId="167" fontId="6" fillId="0" borderId="29" xfId="1" applyNumberFormat="1" applyFont="1" applyFill="1" applyBorder="1" applyAlignment="1">
      <alignment horizontal="left"/>
    </xf>
    <xf numFmtId="167" fontId="6" fillId="0" borderId="26" xfId="1" applyNumberFormat="1" applyFont="1" applyFill="1" applyBorder="1" applyAlignment="1">
      <alignment horizontal="left"/>
    </xf>
    <xf numFmtId="0" fontId="6" fillId="0" borderId="20" xfId="0" applyFont="1" applyBorder="1" applyAlignment="1">
      <alignment horizontal="left" vertical="center" wrapText="1"/>
    </xf>
    <xf numFmtId="10" fontId="6" fillId="0" borderId="23" xfId="3" applyNumberFormat="1" applyFont="1" applyFill="1" applyBorder="1" applyAlignment="1">
      <alignment horizontal="right"/>
    </xf>
    <xf numFmtId="167" fontId="6" fillId="0" borderId="30" xfId="1" applyNumberFormat="1" applyFont="1" applyFill="1" applyBorder="1" applyAlignment="1">
      <alignment horizontal="left"/>
    </xf>
    <xf numFmtId="167" fontId="6" fillId="0" borderId="27" xfId="1" applyNumberFormat="1" applyFont="1" applyFill="1" applyBorder="1" applyAlignment="1">
      <alignment horizontal="left"/>
    </xf>
    <xf numFmtId="0" fontId="18" fillId="0" borderId="18" xfId="0" applyFont="1" applyBorder="1"/>
    <xf numFmtId="0" fontId="18" fillId="0" borderId="24" xfId="0" applyFont="1" applyBorder="1"/>
    <xf numFmtId="167" fontId="18" fillId="0" borderId="9" xfId="0" applyNumberFormat="1" applyFont="1" applyBorder="1" applyProtection="1">
      <protection locked="0"/>
    </xf>
    <xf numFmtId="167" fontId="18" fillId="0" borderId="8" xfId="0" applyNumberFormat="1" applyFont="1" applyBorder="1" applyProtection="1">
      <protection locked="0"/>
    </xf>
    <xf numFmtId="167" fontId="6" fillId="0" borderId="31" xfId="1" applyNumberFormat="1" applyFont="1" applyFill="1" applyBorder="1" applyAlignment="1">
      <alignment horizontal="right"/>
    </xf>
    <xf numFmtId="167" fontId="6" fillId="0" borderId="32" xfId="1" applyNumberFormat="1" applyFont="1" applyFill="1" applyBorder="1" applyAlignment="1">
      <alignment horizontal="right"/>
    </xf>
    <xf numFmtId="167" fontId="18" fillId="0" borderId="33" xfId="1" applyNumberFormat="1" applyFont="1" applyFill="1" applyBorder="1" applyAlignment="1">
      <alignment horizontal="right"/>
    </xf>
    <xf numFmtId="0" fontId="14" fillId="0" borderId="1" xfId="0" applyFont="1" applyBorder="1" applyAlignment="1">
      <alignment horizontal="center"/>
    </xf>
    <xf numFmtId="3" fontId="14" fillId="0" borderId="1" xfId="0" applyNumberFormat="1" applyFont="1" applyBorder="1" applyAlignment="1">
      <alignment horizontal="center"/>
    </xf>
    <xf numFmtId="166" fontId="17" fillId="0" borderId="1" xfId="2" applyNumberFormat="1" applyFont="1" applyBorder="1"/>
    <xf numFmtId="41" fontId="18" fillId="0" borderId="1" xfId="2" applyFont="1" applyBorder="1"/>
    <xf numFmtId="0" fontId="6" fillId="17" borderId="0" xfId="0" applyFont="1" applyFill="1" applyAlignment="1">
      <alignment vertical="center"/>
    </xf>
    <xf numFmtId="0" fontId="6" fillId="17" borderId="0" xfId="0" applyFont="1" applyFill="1" applyAlignment="1">
      <alignment wrapText="1"/>
    </xf>
    <xf numFmtId="41" fontId="18" fillId="0" borderId="0" xfId="2" applyFont="1" applyBorder="1"/>
    <xf numFmtId="166" fontId="18" fillId="0" borderId="1" xfId="2" applyNumberFormat="1" applyFont="1" applyBorder="1"/>
    <xf numFmtId="0" fontId="1" fillId="0" borderId="0" xfId="0" applyFont="1" applyAlignment="1">
      <alignment wrapText="1"/>
    </xf>
    <xf numFmtId="0" fontId="37" fillId="0" borderId="1" xfId="0" applyFont="1" applyBorder="1" applyAlignment="1">
      <alignment horizontal="justify" vertical="center" wrapText="1"/>
    </xf>
    <xf numFmtId="3" fontId="37" fillId="0" borderId="1" xfId="0" applyNumberFormat="1" applyFont="1" applyBorder="1" applyAlignment="1">
      <alignment horizontal="right" vertical="center" wrapText="1"/>
    </xf>
    <xf numFmtId="0" fontId="37" fillId="0" borderId="0" xfId="0" applyFont="1" applyAlignment="1">
      <alignment horizontal="justify" vertical="center" wrapText="1"/>
    </xf>
    <xf numFmtId="3" fontId="37" fillId="0" borderId="0" xfId="0" applyNumberFormat="1" applyFont="1" applyAlignment="1">
      <alignment horizontal="right" vertical="center" wrapText="1"/>
    </xf>
    <xf numFmtId="41" fontId="17" fillId="0" borderId="0" xfId="2" applyFont="1" applyBorder="1"/>
    <xf numFmtId="0" fontId="38" fillId="0" borderId="1" xfId="0" applyFont="1" applyBorder="1" applyAlignment="1">
      <alignment horizontal="justify" vertical="center" wrapText="1"/>
    </xf>
    <xf numFmtId="3" fontId="38" fillId="0" borderId="1" xfId="0" applyNumberFormat="1" applyFont="1" applyBorder="1" applyAlignment="1">
      <alignment horizontal="right" vertical="center" wrapText="1"/>
    </xf>
    <xf numFmtId="41" fontId="18" fillId="0" borderId="0" xfId="2" applyFont="1"/>
    <xf numFmtId="41" fontId="17" fillId="17" borderId="0" xfId="2" applyFont="1" applyFill="1"/>
    <xf numFmtId="0" fontId="38" fillId="0" borderId="1" xfId="0" applyFont="1" applyBorder="1" applyAlignment="1">
      <alignment horizontal="center" vertical="center" wrapText="1"/>
    </xf>
    <xf numFmtId="0" fontId="1" fillId="8" borderId="5" xfId="0" applyFont="1" applyFill="1" applyBorder="1" applyProtection="1">
      <protection hidden="1"/>
    </xf>
    <xf numFmtId="0" fontId="9" fillId="3" borderId="0" xfId="4" applyFont="1" applyFill="1" applyProtection="1">
      <protection locked="0"/>
    </xf>
    <xf numFmtId="0" fontId="9" fillId="3" borderId="0" xfId="4" applyFont="1" applyFill="1" applyAlignment="1" applyProtection="1">
      <alignment horizontal="center" vertical="center"/>
      <protection locked="0"/>
    </xf>
    <xf numFmtId="167" fontId="36" fillId="15" borderId="0" xfId="4" applyNumberFormat="1" applyFont="1" applyFill="1"/>
    <xf numFmtId="0" fontId="36" fillId="15" borderId="0" xfId="4" applyFont="1" applyFill="1"/>
    <xf numFmtId="3" fontId="36" fillId="15" borderId="0" xfId="4" applyNumberFormat="1" applyFont="1" applyFill="1"/>
    <xf numFmtId="0" fontId="35" fillId="15" borderId="0" xfId="4" applyFont="1" applyFill="1"/>
    <xf numFmtId="169" fontId="23" fillId="3" borderId="0" xfId="1" applyNumberFormat="1" applyFont="1" applyFill="1"/>
    <xf numFmtId="0" fontId="36" fillId="3" borderId="0" xfId="4" applyFont="1" applyFill="1"/>
    <xf numFmtId="0" fontId="44" fillId="3" borderId="47" xfId="4" applyFont="1" applyFill="1" applyBorder="1" applyAlignment="1">
      <alignment horizontal="center" vertical="center" wrapText="1"/>
    </xf>
    <xf numFmtId="0" fontId="44" fillId="3" borderId="46" xfId="4" applyFont="1" applyFill="1" applyBorder="1" applyAlignment="1">
      <alignment horizontal="center" vertical="center" wrapText="1"/>
    </xf>
    <xf numFmtId="0" fontId="44" fillId="3" borderId="90" xfId="4" applyFont="1" applyFill="1" applyBorder="1" applyAlignment="1">
      <alignment horizontal="center" vertical="center" wrapText="1"/>
    </xf>
    <xf numFmtId="0" fontId="35" fillId="3" borderId="0" xfId="4" applyFont="1" applyFill="1"/>
    <xf numFmtId="0" fontId="44" fillId="3" borderId="5" xfId="4" applyFont="1" applyFill="1" applyBorder="1" applyAlignment="1">
      <alignment horizontal="center" vertical="center" wrapText="1"/>
    </xf>
    <xf numFmtId="0" fontId="44" fillId="3" borderId="0" xfId="4" applyFont="1" applyFill="1" applyAlignment="1">
      <alignment horizontal="center" vertical="center" wrapText="1"/>
    </xf>
    <xf numFmtId="0" fontId="44" fillId="3" borderId="91" xfId="4" applyFont="1" applyFill="1" applyBorder="1" applyAlignment="1">
      <alignment horizontal="center" vertical="center" wrapText="1"/>
    </xf>
    <xf numFmtId="0" fontId="44" fillId="3" borderId="43" xfId="4" applyFont="1" applyFill="1" applyBorder="1" applyAlignment="1">
      <alignment horizontal="center" vertical="center" wrapText="1"/>
    </xf>
    <xf numFmtId="0" fontId="44" fillId="3" borderId="11" xfId="4" applyFont="1" applyFill="1" applyBorder="1" applyAlignment="1">
      <alignment horizontal="center" vertical="center" wrapText="1"/>
    </xf>
    <xf numFmtId="0" fontId="5" fillId="3" borderId="46" xfId="4" applyFont="1" applyFill="1" applyBorder="1" applyAlignment="1">
      <alignment horizontal="center" vertical="center" wrapText="1"/>
    </xf>
    <xf numFmtId="0" fontId="5" fillId="3" borderId="45" xfId="4" applyFont="1" applyFill="1" applyBorder="1" applyAlignment="1">
      <alignment horizontal="center" vertical="center" wrapText="1"/>
    </xf>
    <xf numFmtId="0" fontId="5" fillId="3" borderId="47" xfId="4" applyFont="1" applyFill="1" applyBorder="1" applyAlignment="1">
      <alignment horizontal="center" vertical="center" wrapText="1"/>
    </xf>
    <xf numFmtId="0" fontId="30" fillId="3" borderId="46" xfId="4" applyFont="1" applyFill="1" applyBorder="1" applyAlignment="1">
      <alignment vertical="center" wrapText="1"/>
    </xf>
    <xf numFmtId="49" fontId="29" fillId="3" borderId="46" xfId="4" applyNumberFormat="1" applyFont="1" applyFill="1" applyBorder="1" applyAlignment="1">
      <alignment horizontal="center" vertical="center"/>
    </xf>
    <xf numFmtId="0" fontId="12" fillId="3" borderId="45" xfId="4" applyFont="1" applyFill="1" applyBorder="1"/>
    <xf numFmtId="0" fontId="47" fillId="3" borderId="0" xfId="4" applyFont="1" applyFill="1" applyAlignment="1">
      <alignment horizontal="center" vertical="center"/>
    </xf>
    <xf numFmtId="0" fontId="48" fillId="3" borderId="0" xfId="4" applyFont="1" applyFill="1" applyAlignment="1">
      <alignment horizontal="center" vertical="center" wrapText="1"/>
    </xf>
    <xf numFmtId="0" fontId="49" fillId="3" borderId="0" xfId="4" applyFont="1" applyFill="1" applyAlignment="1">
      <alignment horizontal="center" vertical="center" wrapText="1"/>
    </xf>
    <xf numFmtId="49" fontId="29" fillId="3" borderId="0" xfId="4" applyNumberFormat="1" applyFont="1" applyFill="1" applyAlignment="1">
      <alignment horizontal="center" vertical="center"/>
    </xf>
    <xf numFmtId="0" fontId="12" fillId="3" borderId="43" xfId="4" applyFont="1" applyFill="1" applyBorder="1"/>
    <xf numFmtId="0" fontId="12" fillId="3" borderId="11" xfId="4" applyFont="1" applyFill="1" applyBorder="1" applyAlignment="1">
      <alignment vertical="top"/>
    </xf>
    <xf numFmtId="0" fontId="12" fillId="3" borderId="11" xfId="4" applyFont="1" applyFill="1" applyBorder="1"/>
    <xf numFmtId="0" fontId="12" fillId="3" borderId="8" xfId="4" applyFont="1" applyFill="1" applyBorder="1"/>
    <xf numFmtId="0" fontId="51" fillId="3" borderId="0" xfId="4" applyFont="1" applyFill="1" applyAlignment="1">
      <alignment horizontal="left"/>
    </xf>
    <xf numFmtId="0" fontId="35" fillId="3" borderId="0" xfId="4" applyFont="1" applyFill="1" applyAlignment="1">
      <alignment horizontal="center"/>
    </xf>
    <xf numFmtId="0" fontId="35" fillId="3" borderId="0" xfId="4" applyFont="1" applyFill="1" applyAlignment="1" applyProtection="1">
      <alignment horizontal="center"/>
      <protection locked="0"/>
    </xf>
    <xf numFmtId="167" fontId="25" fillId="3" borderId="0" xfId="1" applyNumberFormat="1" applyFont="1" applyFill="1" applyProtection="1">
      <protection locked="0"/>
    </xf>
    <xf numFmtId="0" fontId="12" fillId="3" borderId="46" xfId="4" applyFont="1" applyFill="1" applyBorder="1" applyAlignment="1">
      <alignment horizontal="left" vertical="top"/>
    </xf>
    <xf numFmtId="0" fontId="12" fillId="3" borderId="45" xfId="4" applyFont="1" applyFill="1" applyBorder="1" applyAlignment="1">
      <alignment horizontal="center" vertical="top"/>
    </xf>
    <xf numFmtId="3" fontId="50" fillId="3" borderId="8" xfId="4" applyNumberFormat="1" applyFont="1" applyFill="1" applyBorder="1" applyAlignment="1">
      <alignment horizontal="center"/>
    </xf>
    <xf numFmtId="0" fontId="53" fillId="3" borderId="4" xfId="4" applyFont="1" applyFill="1" applyBorder="1"/>
    <xf numFmtId="0" fontId="12" fillId="3" borderId="4" xfId="4" applyFont="1" applyFill="1" applyBorder="1"/>
    <xf numFmtId="0" fontId="12" fillId="3" borderId="10" xfId="4" applyFont="1" applyFill="1" applyBorder="1" applyProtection="1">
      <protection locked="0"/>
    </xf>
    <xf numFmtId="0" fontId="13" fillId="3" borderId="6" xfId="4" applyFont="1" applyFill="1" applyBorder="1" applyAlignment="1">
      <alignment vertical="center"/>
    </xf>
    <xf numFmtId="0" fontId="12" fillId="3" borderId="4" xfId="4" applyFont="1" applyFill="1" applyBorder="1" applyAlignment="1">
      <alignment vertical="center"/>
    </xf>
    <xf numFmtId="0" fontId="12" fillId="3" borderId="10" xfId="4" applyFont="1" applyFill="1" applyBorder="1" applyAlignment="1">
      <alignment vertical="center"/>
    </xf>
    <xf numFmtId="0" fontId="12" fillId="22" borderId="6" xfId="4" applyFont="1" applyFill="1" applyBorder="1" applyAlignment="1">
      <alignment vertical="center"/>
    </xf>
    <xf numFmtId="0" fontId="12" fillId="22" borderId="4" xfId="4" applyFont="1" applyFill="1" applyBorder="1" applyAlignment="1">
      <alignment vertical="center"/>
    </xf>
    <xf numFmtId="0" fontId="12" fillId="22" borderId="10" xfId="4" applyFont="1" applyFill="1" applyBorder="1" applyAlignment="1">
      <alignment vertical="center"/>
    </xf>
    <xf numFmtId="0" fontId="12" fillId="22" borderId="1" xfId="4" applyFont="1" applyFill="1" applyBorder="1" applyAlignment="1">
      <alignment horizontal="center" vertical="center"/>
    </xf>
    <xf numFmtId="0" fontId="12" fillId="22" borderId="10" xfId="4" applyFont="1" applyFill="1" applyBorder="1"/>
    <xf numFmtId="0" fontId="12" fillId="3" borderId="1" xfId="4" applyFont="1" applyFill="1" applyBorder="1" applyAlignment="1">
      <alignment horizontal="center" vertical="center"/>
    </xf>
    <xf numFmtId="0" fontId="12" fillId="22" borderId="10" xfId="4" applyFont="1" applyFill="1" applyBorder="1" applyAlignment="1">
      <alignment horizontal="left" vertical="center" wrapText="1"/>
    </xf>
    <xf numFmtId="0" fontId="12" fillId="22" borderId="1" xfId="4" applyFont="1" applyFill="1" applyBorder="1" applyAlignment="1">
      <alignment vertical="center"/>
    </xf>
    <xf numFmtId="0" fontId="12" fillId="22" borderId="63" xfId="4" applyFont="1" applyFill="1" applyBorder="1" applyAlignment="1">
      <alignment horizontal="center" vertical="center"/>
    </xf>
    <xf numFmtId="0" fontId="56" fillId="3" borderId="0" xfId="4" applyFont="1" applyFill="1" applyAlignment="1">
      <alignment horizontal="left" vertical="top"/>
    </xf>
    <xf numFmtId="0" fontId="56" fillId="3" borderId="0" xfId="4" applyFont="1" applyFill="1" applyAlignment="1">
      <alignment horizontal="center" vertical="top"/>
    </xf>
    <xf numFmtId="0" fontId="12" fillId="23" borderId="0" xfId="4" applyFont="1" applyFill="1"/>
    <xf numFmtId="0" fontId="50" fillId="23" borderId="0" xfId="4" applyFont="1" applyFill="1"/>
    <xf numFmtId="0" fontId="12" fillId="3" borderId="7" xfId="4" applyFont="1" applyFill="1" applyBorder="1" applyAlignment="1">
      <alignment horizontal="center" vertical="center"/>
    </xf>
    <xf numFmtId="3" fontId="52" fillId="3" borderId="0" xfId="4" applyNumberFormat="1" applyFont="1" applyFill="1" applyAlignment="1">
      <alignment horizontal="center"/>
    </xf>
    <xf numFmtId="0" fontId="12" fillId="22" borderId="1" xfId="4" applyFont="1" applyFill="1" applyBorder="1" applyAlignment="1">
      <alignment horizontal="left" vertical="center" wrapText="1"/>
    </xf>
    <xf numFmtId="0" fontId="12" fillId="24" borderId="63" xfId="4" applyFont="1" applyFill="1" applyBorder="1" applyAlignment="1">
      <alignment horizontal="center" vertical="center"/>
    </xf>
    <xf numFmtId="0" fontId="12" fillId="22" borderId="7" xfId="4" applyFont="1" applyFill="1" applyBorder="1" applyAlignment="1">
      <alignment horizontal="center" vertical="center"/>
    </xf>
    <xf numFmtId="49" fontId="51" fillId="3" borderId="0" xfId="1" applyNumberFormat="1" applyFont="1" applyFill="1" applyBorder="1" applyAlignment="1" applyProtection="1">
      <alignment horizontal="center"/>
      <protection locked="0"/>
    </xf>
    <xf numFmtId="3" fontId="55" fillId="3" borderId="0" xfId="4" applyNumberFormat="1" applyFont="1" applyFill="1" applyAlignment="1" applyProtection="1">
      <alignment horizontal="left" vertical="center"/>
      <protection locked="0"/>
    </xf>
    <xf numFmtId="3" fontId="55" fillId="3" borderId="0" xfId="4" applyNumberFormat="1" applyFont="1" applyFill="1" applyAlignment="1" applyProtection="1">
      <alignment horizontal="center"/>
      <protection locked="0"/>
    </xf>
    <xf numFmtId="3" fontId="52" fillId="3" borderId="0" xfId="4" applyNumberFormat="1" applyFont="1" applyFill="1" applyAlignment="1" applyProtection="1">
      <alignment horizontal="center"/>
      <protection locked="0"/>
    </xf>
    <xf numFmtId="3" fontId="51" fillId="3" borderId="0" xfId="4" applyNumberFormat="1" applyFont="1" applyFill="1" applyAlignment="1">
      <alignment horizontal="center"/>
    </xf>
    <xf numFmtId="3" fontId="51" fillId="3" borderId="0" xfId="4" applyNumberFormat="1" applyFont="1" applyFill="1" applyAlignment="1" applyProtection="1">
      <alignment horizontal="center"/>
      <protection locked="0"/>
    </xf>
    <xf numFmtId="0" fontId="59" fillId="3" borderId="0" xfId="6" applyFont="1" applyFill="1" applyBorder="1" applyAlignment="1" applyProtection="1">
      <alignment horizontal="center" vertical="center"/>
      <protection hidden="1"/>
    </xf>
    <xf numFmtId="0" fontId="59" fillId="3" borderId="0" xfId="6" applyFont="1" applyFill="1" applyBorder="1" applyAlignment="1" applyProtection="1">
      <alignment horizontal="center" vertical="center" wrapText="1"/>
      <protection hidden="1"/>
    </xf>
    <xf numFmtId="0" fontId="13" fillId="22" borderId="1" xfId="4" applyFont="1" applyFill="1" applyBorder="1" applyAlignment="1">
      <alignment horizontal="center" vertical="center" wrapText="1"/>
    </xf>
    <xf numFmtId="0" fontId="13" fillId="22" borderId="9" xfId="4" applyFont="1" applyFill="1" applyBorder="1" applyAlignment="1">
      <alignment horizontal="center" vertical="center"/>
    </xf>
    <xf numFmtId="0" fontId="13" fillId="22" borderId="7" xfId="4" applyFont="1" applyFill="1" applyBorder="1" applyAlignment="1">
      <alignment horizontal="center" vertical="center"/>
    </xf>
    <xf numFmtId="0" fontId="6" fillId="3" borderId="5" xfId="4" applyFill="1" applyBorder="1"/>
    <xf numFmtId="167" fontId="24" fillId="3" borderId="0" xfId="1" applyNumberFormat="1" applyFont="1" applyFill="1" applyProtection="1">
      <protection locked="0"/>
    </xf>
    <xf numFmtId="0" fontId="12" fillId="23" borderId="11" xfId="4" applyFont="1" applyFill="1" applyBorder="1" applyAlignment="1">
      <alignment horizontal="center"/>
    </xf>
    <xf numFmtId="0" fontId="50" fillId="23" borderId="11" xfId="4" applyFont="1" applyFill="1" applyBorder="1"/>
    <xf numFmtId="0" fontId="12" fillId="23" borderId="11" xfId="4" applyFont="1" applyFill="1" applyBorder="1" applyAlignment="1">
      <alignment horizontal="center" vertical="center"/>
    </xf>
    <xf numFmtId="0" fontId="12" fillId="3" borderId="9" xfId="4" applyFont="1" applyFill="1" applyBorder="1" applyAlignment="1">
      <alignment horizontal="center" vertical="center"/>
    </xf>
    <xf numFmtId="0" fontId="12" fillId="22" borderId="9" xfId="4" applyFont="1" applyFill="1" applyBorder="1" applyAlignment="1">
      <alignment horizontal="center" vertical="center"/>
    </xf>
    <xf numFmtId="0" fontId="60" fillId="3" borderId="0" xfId="4" applyFont="1" applyFill="1" applyAlignment="1" applyProtection="1">
      <alignment horizontal="center" vertical="center"/>
      <protection hidden="1"/>
    </xf>
    <xf numFmtId="0" fontId="12" fillId="22" borderId="63" xfId="4" applyFont="1" applyFill="1" applyBorder="1" applyAlignment="1">
      <alignment horizontal="center" vertical="center" wrapText="1"/>
    </xf>
    <xf numFmtId="0" fontId="51" fillId="3" borderId="0" xfId="4" applyFont="1" applyFill="1" applyAlignment="1" applyProtection="1">
      <alignment horizontal="center" vertical="center"/>
      <protection hidden="1"/>
    </xf>
    <xf numFmtId="0" fontId="12" fillId="22" borderId="7" xfId="4" applyFont="1" applyFill="1" applyBorder="1" applyAlignment="1">
      <alignment horizontal="center" vertical="center" wrapText="1"/>
    </xf>
    <xf numFmtId="0" fontId="13" fillId="22" borderId="9" xfId="4" applyFont="1" applyFill="1" applyBorder="1" applyAlignment="1">
      <alignment horizontal="center" vertical="center" wrapText="1"/>
    </xf>
    <xf numFmtId="0" fontId="12" fillId="3" borderId="63" xfId="4" applyFont="1" applyFill="1" applyBorder="1" applyAlignment="1">
      <alignment horizontal="center" vertical="center"/>
    </xf>
    <xf numFmtId="0" fontId="59" fillId="3" borderId="0" xfId="6" applyFont="1" applyFill="1" applyBorder="1" applyAlignment="1" applyProtection="1">
      <alignment horizontal="center" vertical="center"/>
    </xf>
    <xf numFmtId="0" fontId="13" fillId="3" borderId="9" xfId="4" applyFont="1" applyFill="1" applyBorder="1" applyAlignment="1">
      <alignment horizontal="center" vertical="center"/>
    </xf>
    <xf numFmtId="0" fontId="60" fillId="3" borderId="0" xfId="4" applyFont="1" applyFill="1" applyAlignment="1" applyProtection="1">
      <alignment horizontal="center" vertical="center" wrapText="1"/>
      <protection hidden="1"/>
    </xf>
    <xf numFmtId="0" fontId="13" fillId="22" borderId="63" xfId="4" applyFont="1" applyFill="1" applyBorder="1" applyAlignment="1">
      <alignment horizontal="center" vertical="center"/>
    </xf>
    <xf numFmtId="0" fontId="60" fillId="3" borderId="0" xfId="4" applyFont="1" applyFill="1" applyAlignment="1">
      <alignment horizontal="center" vertical="center"/>
    </xf>
    <xf numFmtId="0" fontId="13" fillId="23" borderId="0" xfId="4" applyFont="1" applyFill="1" applyAlignment="1">
      <alignment horizontal="left" vertical="center" wrapText="1"/>
    </xf>
    <xf numFmtId="0" fontId="13" fillId="3" borderId="7" xfId="4" applyFont="1" applyFill="1" applyBorder="1" applyAlignment="1">
      <alignment horizontal="center" vertical="center"/>
    </xf>
    <xf numFmtId="0" fontId="12" fillId="23" borderId="0" xfId="4" applyFont="1" applyFill="1" applyAlignment="1">
      <alignment horizontal="left" vertical="center" wrapText="1"/>
    </xf>
    <xf numFmtId="0" fontId="13" fillId="3" borderId="1" xfId="4" applyFont="1" applyFill="1" applyBorder="1"/>
    <xf numFmtId="0" fontId="12" fillId="22" borderId="7" xfId="4" applyFont="1" applyFill="1" applyBorder="1"/>
    <xf numFmtId="0" fontId="12" fillId="22" borderId="9" xfId="4" applyFont="1" applyFill="1" applyBorder="1"/>
    <xf numFmtId="0" fontId="12" fillId="3" borderId="9" xfId="4" applyFont="1" applyFill="1" applyBorder="1"/>
    <xf numFmtId="0" fontId="12" fillId="3" borderId="47" xfId="4" applyFont="1" applyFill="1" applyBorder="1" applyAlignment="1">
      <alignment horizontal="right" vertical="center"/>
    </xf>
    <xf numFmtId="0" fontId="12" fillId="3" borderId="46" xfId="4" applyFont="1" applyFill="1" applyBorder="1" applyAlignment="1">
      <alignment vertical="center"/>
    </xf>
    <xf numFmtId="0" fontId="12" fillId="3" borderId="46" xfId="4" applyFont="1" applyFill="1" applyBorder="1"/>
    <xf numFmtId="0" fontId="62" fillId="3" borderId="0" xfId="6" applyFont="1" applyFill="1" applyBorder="1" applyAlignment="1" applyProtection="1">
      <alignment horizontal="center" vertical="center" wrapText="1"/>
      <protection hidden="1"/>
    </xf>
    <xf numFmtId="0" fontId="12" fillId="22" borderId="5" xfId="4" applyFont="1" applyFill="1" applyBorder="1" applyAlignment="1">
      <alignment vertical="center"/>
    </xf>
    <xf numFmtId="0" fontId="12" fillId="22" borderId="0" xfId="4" applyFont="1" applyFill="1" applyAlignment="1">
      <alignment horizontal="center" vertical="center"/>
    </xf>
    <xf numFmtId="0" fontId="51" fillId="3" borderId="0" xfId="4" applyFont="1" applyFill="1" applyAlignment="1" applyProtection="1">
      <alignment horizontal="center" vertical="center" wrapText="1"/>
      <protection hidden="1"/>
    </xf>
    <xf numFmtId="0" fontId="13" fillId="3" borderId="5" xfId="4" applyFont="1" applyFill="1" applyBorder="1" applyAlignment="1">
      <alignment vertical="center"/>
    </xf>
    <xf numFmtId="0" fontId="12" fillId="3" borderId="0" xfId="4" applyFont="1" applyFill="1" applyAlignment="1">
      <alignment horizontal="center" vertical="center"/>
    </xf>
    <xf numFmtId="0" fontId="13" fillId="3" borderId="43" xfId="4" applyFont="1" applyFill="1" applyBorder="1" applyAlignment="1">
      <alignment vertical="center"/>
    </xf>
    <xf numFmtId="0" fontId="12" fillId="3" borderId="5" xfId="4" applyFont="1" applyFill="1" applyBorder="1" applyAlignment="1">
      <alignment vertical="center"/>
    </xf>
    <xf numFmtId="0" fontId="13" fillId="3" borderId="11" xfId="4" applyFont="1" applyFill="1" applyBorder="1" applyAlignment="1">
      <alignment horizontal="center" vertical="center"/>
    </xf>
    <xf numFmtId="0" fontId="13" fillId="22" borderId="5" xfId="4" applyFont="1" applyFill="1" applyBorder="1" applyAlignment="1">
      <alignment vertical="center"/>
    </xf>
    <xf numFmtId="0" fontId="12" fillId="22" borderId="63" xfId="4" applyFont="1" applyFill="1" applyBorder="1"/>
    <xf numFmtId="0" fontId="12" fillId="22" borderId="1" xfId="4" applyFont="1" applyFill="1" applyBorder="1"/>
    <xf numFmtId="0" fontId="12" fillId="3" borderId="63" xfId="4" applyFont="1" applyFill="1" applyBorder="1"/>
    <xf numFmtId="0" fontId="13" fillId="3" borderId="9" xfId="4" applyFont="1" applyFill="1" applyBorder="1"/>
    <xf numFmtId="0" fontId="13" fillId="22" borderId="63" xfId="4" applyFont="1" applyFill="1" applyBorder="1" applyAlignment="1">
      <alignment vertical="center"/>
    </xf>
    <xf numFmtId="0" fontId="12" fillId="3" borderId="7" xfId="4" applyFont="1" applyFill="1" applyBorder="1" applyAlignment="1">
      <alignment vertical="center"/>
    </xf>
    <xf numFmtId="0" fontId="12" fillId="22" borderId="43" xfId="4" applyFont="1" applyFill="1" applyBorder="1" applyAlignment="1">
      <alignment vertical="center"/>
    </xf>
    <xf numFmtId="0" fontId="12" fillId="22" borderId="7" xfId="4" applyFont="1" applyFill="1" applyBorder="1" applyAlignment="1">
      <alignment vertical="center"/>
    </xf>
    <xf numFmtId="0" fontId="13" fillId="3" borderId="7" xfId="4" applyFont="1" applyFill="1" applyBorder="1" applyAlignment="1">
      <alignment vertical="center"/>
    </xf>
    <xf numFmtId="0" fontId="12" fillId="3" borderId="43" xfId="4" applyFont="1" applyFill="1" applyBorder="1" applyAlignment="1">
      <alignment vertical="center"/>
    </xf>
    <xf numFmtId="0" fontId="12" fillId="3" borderId="9" xfId="4" applyFont="1" applyFill="1" applyBorder="1" applyAlignment="1">
      <alignment vertical="center"/>
    </xf>
    <xf numFmtId="0" fontId="13" fillId="22" borderId="1" xfId="4" applyFont="1" applyFill="1" applyBorder="1" applyAlignment="1">
      <alignment horizontal="center" vertical="center"/>
    </xf>
    <xf numFmtId="0" fontId="12" fillId="3" borderId="47" xfId="4" applyFont="1" applyFill="1" applyBorder="1"/>
    <xf numFmtId="0" fontId="6" fillId="3" borderId="45" xfId="4" applyFill="1" applyBorder="1"/>
    <xf numFmtId="0" fontId="12" fillId="3" borderId="5" xfId="4" applyFont="1" applyFill="1" applyBorder="1"/>
    <xf numFmtId="0" fontId="12" fillId="3" borderId="0" xfId="4" applyFont="1" applyFill="1"/>
    <xf numFmtId="167" fontId="16" fillId="3" borderId="0" xfId="1" applyNumberFormat="1" applyFont="1" applyFill="1" applyProtection="1">
      <protection locked="0"/>
    </xf>
    <xf numFmtId="0" fontId="12" fillId="22" borderId="47" xfId="4" applyFont="1" applyFill="1" applyBorder="1"/>
    <xf numFmtId="0" fontId="12" fillId="22" borderId="46" xfId="4" applyFont="1" applyFill="1" applyBorder="1"/>
    <xf numFmtId="0" fontId="12" fillId="22" borderId="45" xfId="4" applyFont="1" applyFill="1" applyBorder="1"/>
    <xf numFmtId="0" fontId="6" fillId="22" borderId="45" xfId="4" applyFill="1" applyBorder="1"/>
    <xf numFmtId="0" fontId="2" fillId="22" borderId="5" xfId="4" applyFont="1" applyFill="1" applyBorder="1"/>
    <xf numFmtId="0" fontId="2" fillId="22" borderId="0" xfId="4" applyFont="1" applyFill="1"/>
    <xf numFmtId="0" fontId="2" fillId="3" borderId="1" xfId="4" applyFont="1" applyFill="1" applyBorder="1" applyAlignment="1" applyProtection="1">
      <alignment horizontal="center" vertical="center"/>
      <protection locked="0"/>
    </xf>
    <xf numFmtId="0" fontId="66" fillId="22" borderId="5" xfId="4" applyFont="1" applyFill="1" applyBorder="1"/>
    <xf numFmtId="0" fontId="12" fillId="22" borderId="0" xfId="4" applyFont="1" applyFill="1"/>
    <xf numFmtId="0" fontId="12" fillId="22" borderId="44" xfId="4" applyFont="1" applyFill="1" applyBorder="1"/>
    <xf numFmtId="0" fontId="12" fillId="22" borderId="5" xfId="4" applyFont="1" applyFill="1" applyBorder="1"/>
    <xf numFmtId="0" fontId="6" fillId="22" borderId="44" xfId="4" applyFill="1" applyBorder="1"/>
    <xf numFmtId="0" fontId="2" fillId="22" borderId="43" xfId="4" applyFont="1" applyFill="1" applyBorder="1"/>
    <xf numFmtId="0" fontId="2" fillId="22" borderId="11" xfId="4" applyFont="1" applyFill="1" applyBorder="1"/>
    <xf numFmtId="0" fontId="12" fillId="22" borderId="43" xfId="4" applyFont="1" applyFill="1" applyBorder="1"/>
    <xf numFmtId="0" fontId="12" fillId="22" borderId="11" xfId="4" applyFont="1" applyFill="1" applyBorder="1"/>
    <xf numFmtId="0" fontId="6" fillId="22" borderId="8" xfId="4" applyFill="1" applyBorder="1"/>
    <xf numFmtId="0" fontId="56" fillId="3" borderId="0" xfId="4" applyFont="1" applyFill="1" applyAlignment="1" applyProtection="1">
      <alignment vertical="center" wrapText="1"/>
      <protection hidden="1"/>
    </xf>
    <xf numFmtId="0" fontId="58" fillId="3" borderId="0" xfId="4" applyFont="1" applyFill="1" applyAlignment="1" applyProtection="1">
      <alignment vertical="center" wrapText="1"/>
      <protection hidden="1"/>
    </xf>
    <xf numFmtId="0" fontId="51" fillId="3" borderId="0" xfId="4" applyFont="1" applyFill="1" applyAlignment="1" applyProtection="1">
      <alignment vertical="center" wrapText="1"/>
      <protection hidden="1"/>
    </xf>
    <xf numFmtId="0" fontId="2" fillId="22" borderId="44" xfId="4" applyFont="1" applyFill="1" applyBorder="1"/>
    <xf numFmtId="0" fontId="51" fillId="3" borderId="0" xfId="4" applyFont="1" applyFill="1" applyAlignment="1" applyProtection="1">
      <alignment horizontal="center" wrapText="1"/>
      <protection locked="0"/>
    </xf>
    <xf numFmtId="0" fontId="51" fillId="3" borderId="0" xfId="4" applyFont="1" applyFill="1" applyAlignment="1">
      <alignment horizontal="center" vertical="center" wrapText="1"/>
    </xf>
    <xf numFmtId="0" fontId="35" fillId="3" borderId="0" xfId="4" applyFont="1" applyFill="1" applyAlignment="1">
      <alignment vertical="center"/>
    </xf>
    <xf numFmtId="0" fontId="55" fillId="3" borderId="0" xfId="4" applyFont="1" applyFill="1" applyAlignment="1">
      <alignment horizontal="left" vertical="center"/>
    </xf>
    <xf numFmtId="0" fontId="67" fillId="3" borderId="0" xfId="4" applyFont="1" applyFill="1" applyAlignment="1">
      <alignment horizontal="left" vertical="center"/>
    </xf>
    <xf numFmtId="0" fontId="14" fillId="3" borderId="1" xfId="4" applyFont="1" applyFill="1" applyBorder="1" applyAlignment="1" applyProtection="1">
      <alignment horizontal="center" vertical="center"/>
      <protection locked="0"/>
    </xf>
    <xf numFmtId="0" fontId="14" fillId="3" borderId="1" xfId="4" applyFont="1" applyFill="1" applyBorder="1" applyAlignment="1" applyProtection="1">
      <alignment horizontal="center"/>
      <protection locked="0"/>
    </xf>
    <xf numFmtId="0" fontId="67" fillId="3" borderId="0" xfId="4" applyFont="1" applyFill="1" applyAlignment="1">
      <alignment vertical="center" wrapText="1"/>
    </xf>
    <xf numFmtId="0" fontId="55" fillId="3" borderId="0" xfId="4" applyFont="1" applyFill="1" applyAlignment="1">
      <alignment horizontal="center" vertical="top" wrapText="1"/>
    </xf>
    <xf numFmtId="0" fontId="35" fillId="3" borderId="0" xfId="4" applyFont="1" applyFill="1" applyAlignment="1">
      <alignment horizontal="center" wrapText="1"/>
    </xf>
    <xf numFmtId="0" fontId="55" fillId="3" borderId="0" xfId="4" applyFont="1" applyFill="1" applyAlignment="1" applyProtection="1">
      <alignment horizontal="center" vertical="center" wrapText="1"/>
      <protection hidden="1"/>
    </xf>
    <xf numFmtId="0" fontId="55" fillId="3" borderId="0" xfId="4" applyFont="1" applyFill="1" applyAlignment="1">
      <alignment horizontal="center" vertical="top"/>
    </xf>
    <xf numFmtId="3" fontId="41" fillId="3" borderId="0" xfId="4" applyNumberFormat="1" applyFont="1" applyFill="1" applyAlignment="1" applyProtection="1">
      <alignment horizontal="right" vertical="center"/>
      <protection locked="0"/>
    </xf>
    <xf numFmtId="3" fontId="41" fillId="3" borderId="0" xfId="4" applyNumberFormat="1" applyFont="1" applyFill="1" applyAlignment="1">
      <alignment vertical="center"/>
    </xf>
    <xf numFmtId="0" fontId="55" fillId="3" borderId="0" xfId="4" applyFont="1" applyFill="1" applyAlignment="1">
      <alignment vertical="top"/>
    </xf>
    <xf numFmtId="0" fontId="12" fillId="22" borderId="8" xfId="4" applyFont="1" applyFill="1" applyBorder="1"/>
    <xf numFmtId="0" fontId="67" fillId="3" borderId="0" xfId="4" applyFont="1" applyFill="1" applyAlignment="1">
      <alignment horizontal="left" vertical="center" wrapText="1"/>
    </xf>
    <xf numFmtId="0" fontId="68" fillId="3" borderId="0" xfId="4" applyFont="1" applyFill="1" applyAlignment="1">
      <alignment horizontal="center"/>
    </xf>
    <xf numFmtId="0" fontId="3" fillId="4" borderId="1" xfId="0" applyFont="1" applyFill="1" applyBorder="1" applyAlignment="1">
      <alignment horizontal="center" wrapText="1"/>
    </xf>
    <xf numFmtId="178" fontId="36" fillId="0" borderId="0" xfId="0" applyNumberFormat="1" applyFont="1"/>
    <xf numFmtId="41" fontId="1" fillId="0" borderId="0" xfId="2" applyFont="1"/>
    <xf numFmtId="14" fontId="36" fillId="0" borderId="1" xfId="0" applyNumberFormat="1" applyFont="1" applyBorder="1"/>
    <xf numFmtId="165" fontId="36" fillId="0" borderId="1" xfId="0" applyNumberFormat="1" applyFont="1" applyBorder="1"/>
    <xf numFmtId="0" fontId="17" fillId="0" borderId="0" xfId="0" applyFont="1"/>
    <xf numFmtId="0" fontId="18" fillId="0" borderId="82" xfId="0" applyFont="1" applyBorder="1" applyAlignment="1">
      <alignment vertical="center" wrapText="1"/>
    </xf>
    <xf numFmtId="0" fontId="18" fillId="0" borderId="82" xfId="0" applyFont="1" applyBorder="1" applyAlignment="1">
      <alignment vertical="center"/>
    </xf>
    <xf numFmtId="0" fontId="17" fillId="21" borderId="82" xfId="0" applyFont="1" applyFill="1" applyBorder="1" applyAlignment="1">
      <alignment horizontal="left" vertical="center"/>
    </xf>
    <xf numFmtId="166" fontId="17" fillId="21" borderId="82" xfId="2" applyNumberFormat="1" applyFont="1" applyFill="1" applyBorder="1" applyAlignment="1">
      <alignment horizontal="center" vertical="center"/>
    </xf>
    <xf numFmtId="10" fontId="17" fillId="0" borderId="0" xfId="3" applyNumberFormat="1" applyFont="1"/>
    <xf numFmtId="41" fontId="17" fillId="0" borderId="0" xfId="2" applyFont="1" applyAlignment="1">
      <alignment horizontal="center"/>
    </xf>
    <xf numFmtId="41" fontId="18" fillId="0" borderId="0" xfId="2" applyFont="1" applyAlignment="1">
      <alignment horizontal="center"/>
    </xf>
    <xf numFmtId="41" fontId="18" fillId="0" borderId="0" xfId="0" applyNumberFormat="1" applyFont="1"/>
    <xf numFmtId="0" fontId="18" fillId="0" borderId="0" xfId="0" applyFont="1"/>
    <xf numFmtId="41" fontId="1" fillId="0" borderId="1" xfId="2" applyFont="1" applyBorder="1"/>
    <xf numFmtId="41" fontId="1" fillId="0" borderId="0" xfId="2" applyFont="1" applyBorder="1"/>
    <xf numFmtId="174" fontId="6" fillId="0" borderId="0" xfId="0" applyNumberFormat="1" applyFont="1"/>
    <xf numFmtId="41" fontId="14" fillId="0" borderId="1" xfId="2" applyFont="1" applyBorder="1"/>
    <xf numFmtId="41" fontId="5" fillId="0" borderId="1" xfId="2" applyFont="1" applyBorder="1"/>
    <xf numFmtId="41" fontId="14" fillId="0" borderId="1" xfId="0" applyNumberFormat="1" applyFont="1" applyBorder="1"/>
    <xf numFmtId="41" fontId="5" fillId="0" borderId="1" xfId="0" applyNumberFormat="1" applyFont="1" applyBorder="1"/>
    <xf numFmtId="3" fontId="36" fillId="0" borderId="1" xfId="0" applyNumberFormat="1" applyFont="1" applyBorder="1"/>
    <xf numFmtId="43" fontId="6" fillId="0" borderId="0" xfId="1" applyFont="1"/>
    <xf numFmtId="43" fontId="1" fillId="0" borderId="0" xfId="1" applyFont="1"/>
    <xf numFmtId="9" fontId="6" fillId="0" borderId="0" xfId="0" applyNumberFormat="1" applyFont="1"/>
    <xf numFmtId="10" fontId="6" fillId="0" borderId="0" xfId="0" applyNumberFormat="1" applyFont="1"/>
    <xf numFmtId="43" fontId="6" fillId="0" borderId="0" xfId="0" applyNumberFormat="1" applyFont="1"/>
    <xf numFmtId="14" fontId="17" fillId="5" borderId="1" xfId="0" applyNumberFormat="1" applyFont="1" applyFill="1" applyBorder="1"/>
    <xf numFmtId="174" fontId="3" fillId="0" borderId="0" xfId="0" applyNumberFormat="1" applyFont="1"/>
    <xf numFmtId="0" fontId="3" fillId="0" borderId="0" xfId="0" applyFont="1" applyAlignment="1">
      <alignment horizontal="center"/>
    </xf>
    <xf numFmtId="0" fontId="3" fillId="4" borderId="1" xfId="0" applyFont="1" applyFill="1" applyBorder="1" applyAlignment="1">
      <alignment horizontal="center" vertical="center" wrapText="1"/>
    </xf>
    <xf numFmtId="0" fontId="6" fillId="0" borderId="0" xfId="0" applyFont="1" applyAlignment="1">
      <alignment wrapText="1"/>
    </xf>
    <xf numFmtId="0" fontId="1" fillId="0" borderId="0" xfId="0" applyFont="1" applyAlignment="1">
      <alignment wrapText="1"/>
    </xf>
    <xf numFmtId="0" fontId="3" fillId="4" borderId="1" xfId="0" applyFont="1" applyFill="1" applyBorder="1" applyAlignment="1">
      <alignment horizontal="center"/>
    </xf>
    <xf numFmtId="0" fontId="3" fillId="4" borderId="6" xfId="0" applyFont="1" applyFill="1" applyBorder="1" applyAlignment="1">
      <alignment horizontal="center"/>
    </xf>
    <xf numFmtId="0" fontId="3" fillId="4" borderId="4" xfId="0" applyFont="1" applyFill="1" applyBorder="1" applyAlignment="1">
      <alignment horizontal="center"/>
    </xf>
    <xf numFmtId="0" fontId="3" fillId="4" borderId="10" xfId="0" applyFont="1" applyFill="1" applyBorder="1" applyAlignment="1">
      <alignment horizontal="center"/>
    </xf>
    <xf numFmtId="0" fontId="3" fillId="4" borderId="6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6" fillId="5" borderId="47" xfId="0" applyFont="1" applyFill="1" applyBorder="1" applyAlignment="1" applyProtection="1">
      <alignment horizontal="left" vertical="center" wrapText="1"/>
      <protection hidden="1"/>
    </xf>
    <xf numFmtId="0" fontId="6" fillId="5" borderId="46" xfId="0" applyFont="1" applyFill="1" applyBorder="1" applyAlignment="1" applyProtection="1">
      <alignment horizontal="left" vertical="center" wrapText="1"/>
      <protection hidden="1"/>
    </xf>
    <xf numFmtId="0" fontId="6" fillId="5" borderId="6" xfId="0" applyFont="1" applyFill="1" applyBorder="1" applyAlignment="1" applyProtection="1">
      <alignment horizontal="left" vertical="center" wrapText="1"/>
      <protection hidden="1"/>
    </xf>
    <xf numFmtId="0" fontId="6" fillId="5" borderId="4" xfId="0" applyFont="1" applyFill="1" applyBorder="1" applyAlignment="1" applyProtection="1">
      <alignment horizontal="left" vertical="center" wrapText="1"/>
      <protection hidden="1"/>
    </xf>
    <xf numFmtId="0" fontId="6" fillId="5" borderId="43" xfId="0" applyFont="1" applyFill="1" applyBorder="1" applyAlignment="1" applyProtection="1">
      <alignment horizontal="left" vertical="center" wrapText="1"/>
      <protection hidden="1"/>
    </xf>
    <xf numFmtId="0" fontId="6" fillId="5" borderId="11" xfId="0" applyFont="1" applyFill="1" applyBorder="1" applyAlignment="1" applyProtection="1">
      <alignment horizontal="left" vertical="center" wrapText="1"/>
      <protection hidden="1"/>
    </xf>
    <xf numFmtId="0" fontId="3" fillId="0" borderId="2" xfId="0" applyFont="1" applyBorder="1" applyAlignment="1">
      <alignment horizontal="center"/>
    </xf>
    <xf numFmtId="0" fontId="3" fillId="0" borderId="3" xfId="0" applyFont="1" applyBorder="1" applyAlignment="1">
      <alignment horizontal="center"/>
    </xf>
    <xf numFmtId="0" fontId="17" fillId="5" borderId="63" xfId="0" applyFont="1" applyFill="1" applyBorder="1" applyAlignment="1">
      <alignment horizontal="center" vertical="center" textRotation="90"/>
    </xf>
    <xf numFmtId="0" fontId="17" fillId="5" borderId="7" xfId="0" applyFont="1" applyFill="1" applyBorder="1" applyAlignment="1">
      <alignment horizontal="center" vertical="center" textRotation="90"/>
    </xf>
    <xf numFmtId="0" fontId="17" fillId="5" borderId="9" xfId="0" applyFont="1" applyFill="1" applyBorder="1" applyAlignment="1">
      <alignment horizontal="center" vertical="center" textRotation="90"/>
    </xf>
    <xf numFmtId="0" fontId="1" fillId="0" borderId="0" xfId="0" applyFont="1" applyAlignment="1" applyProtection="1">
      <alignment horizontal="left" wrapText="1"/>
      <protection locked="0"/>
    </xf>
    <xf numFmtId="0" fontId="0" fillId="0" borderId="0" xfId="0" applyAlignment="1">
      <alignment wrapText="1"/>
    </xf>
    <xf numFmtId="0" fontId="6" fillId="0" borderId="1" xfId="0" applyFont="1" applyBorder="1" applyAlignment="1">
      <alignment horizontal="center"/>
    </xf>
    <xf numFmtId="0" fontId="18" fillId="0" borderId="0" xfId="0" applyFont="1" applyAlignment="1">
      <alignment horizontal="center"/>
    </xf>
    <xf numFmtId="3" fontId="1" fillId="0" borderId="0" xfId="0" applyNumberFormat="1" applyFont="1" applyAlignment="1">
      <alignment horizontal="center" wrapText="1"/>
    </xf>
    <xf numFmtId="3" fontId="6" fillId="0" borderId="11" xfId="0" applyNumberFormat="1" applyFont="1" applyBorder="1" applyAlignment="1">
      <alignment horizontal="center" wrapText="1"/>
    </xf>
    <xf numFmtId="167" fontId="17" fillId="0" borderId="40" xfId="1" applyNumberFormat="1" applyFont="1" applyFill="1" applyBorder="1" applyAlignment="1">
      <alignment horizontal="center" vertical="center" wrapText="1"/>
    </xf>
    <xf numFmtId="167" fontId="17" fillId="0" borderId="41" xfId="1" applyNumberFormat="1" applyFont="1" applyFill="1" applyBorder="1" applyAlignment="1">
      <alignment horizontal="center" vertical="center" wrapText="1"/>
    </xf>
    <xf numFmtId="167" fontId="6" fillId="0" borderId="80" xfId="1" applyNumberFormat="1" applyFont="1" applyFill="1" applyBorder="1"/>
    <xf numFmtId="167" fontId="6" fillId="0" borderId="13" xfId="1" applyNumberFormat="1" applyFont="1" applyFill="1" applyBorder="1"/>
    <xf numFmtId="167" fontId="1" fillId="0" borderId="80" xfId="1" applyNumberFormat="1" applyFont="1" applyFill="1" applyBorder="1"/>
    <xf numFmtId="167" fontId="18" fillId="0" borderId="78" xfId="1" applyNumberFormat="1" applyFont="1" applyFill="1" applyBorder="1"/>
    <xf numFmtId="167" fontId="18" fillId="0" borderId="79" xfId="1" applyNumberFormat="1" applyFont="1" applyFill="1" applyBorder="1"/>
    <xf numFmtId="0" fontId="6" fillId="8" borderId="12" xfId="0" applyFont="1" applyFill="1" applyBorder="1" applyAlignment="1">
      <alignment horizontal="left"/>
    </xf>
    <xf numFmtId="167" fontId="17" fillId="0" borderId="28" xfId="1" applyNumberFormat="1" applyFont="1" applyFill="1" applyBorder="1" applyAlignment="1">
      <alignment horizontal="center" vertical="center" wrapText="1"/>
    </xf>
    <xf numFmtId="167" fontId="17" fillId="0" borderId="30" xfId="1" applyNumberFormat="1" applyFont="1" applyFill="1" applyBorder="1" applyAlignment="1">
      <alignment horizontal="center" vertical="center" wrapText="1"/>
    </xf>
    <xf numFmtId="167" fontId="17" fillId="0" borderId="39" xfId="1" applyNumberFormat="1" applyFont="1" applyFill="1" applyBorder="1" applyAlignment="1">
      <alignment horizontal="center" vertical="center" wrapText="1"/>
    </xf>
    <xf numFmtId="167" fontId="17" fillId="0" borderId="20" xfId="1" applyNumberFormat="1" applyFont="1" applyFill="1" applyBorder="1" applyAlignment="1">
      <alignment horizontal="center" vertical="center" wrapText="1"/>
    </xf>
    <xf numFmtId="167" fontId="6" fillId="0" borderId="19" xfId="1" applyNumberFormat="1" applyFont="1" applyFill="1" applyBorder="1"/>
    <xf numFmtId="167" fontId="6" fillId="0" borderId="42" xfId="1" applyNumberFormat="1" applyFont="1" applyFill="1" applyBorder="1"/>
    <xf numFmtId="0" fontId="38" fillId="0" borderId="0" xfId="0" applyFont="1" applyAlignment="1">
      <alignment vertical="center"/>
    </xf>
    <xf numFmtId="0" fontId="14" fillId="0" borderId="0" xfId="0" applyFont="1" applyAlignment="1">
      <alignment horizontal="center"/>
    </xf>
    <xf numFmtId="0" fontId="5" fillId="0" borderId="2" xfId="0" applyFont="1" applyBorder="1" applyAlignment="1">
      <alignment horizontal="center"/>
    </xf>
    <xf numFmtId="0" fontId="5" fillId="4" borderId="1" xfId="0" applyFont="1" applyFill="1" applyBorder="1" applyAlignment="1">
      <alignment horizontal="center" vertical="center" wrapText="1"/>
    </xf>
    <xf numFmtId="0" fontId="6" fillId="3" borderId="1" xfId="0" applyFont="1" applyFill="1" applyBorder="1" applyProtection="1">
      <protection hidden="1"/>
    </xf>
    <xf numFmtId="0" fontId="6" fillId="3" borderId="1" xfId="0" applyFont="1" applyFill="1" applyBorder="1" applyAlignment="1" applyProtection="1">
      <alignment horizontal="left"/>
      <protection hidden="1"/>
    </xf>
    <xf numFmtId="0" fontId="18" fillId="3" borderId="11" xfId="0" applyFont="1" applyFill="1" applyBorder="1" applyProtection="1">
      <protection hidden="1"/>
    </xf>
    <xf numFmtId="173" fontId="3" fillId="8" borderId="6" xfId="0" applyNumberFormat="1" applyFont="1" applyFill="1" applyBorder="1" applyAlignment="1" applyProtection="1">
      <alignment horizontal="center"/>
      <protection hidden="1"/>
    </xf>
    <xf numFmtId="173" fontId="3" fillId="8" borderId="10" xfId="0" applyNumberFormat="1" applyFont="1" applyFill="1" applyBorder="1" applyAlignment="1" applyProtection="1">
      <alignment horizontal="center"/>
      <protection hidden="1"/>
    </xf>
    <xf numFmtId="173" fontId="3" fillId="8" borderId="63" xfId="0" applyNumberFormat="1" applyFont="1" applyFill="1" applyBorder="1" applyAlignment="1" applyProtection="1">
      <alignment horizontal="center" wrapText="1"/>
      <protection hidden="1"/>
    </xf>
    <xf numFmtId="173" fontId="3" fillId="8" borderId="9" xfId="0" applyNumberFormat="1" applyFont="1" applyFill="1" applyBorder="1" applyAlignment="1" applyProtection="1">
      <alignment horizontal="center" wrapText="1"/>
      <protection hidden="1"/>
    </xf>
    <xf numFmtId="0" fontId="3" fillId="8" borderId="1" xfId="0" applyFont="1" applyFill="1" applyBorder="1" applyAlignment="1" applyProtection="1">
      <alignment horizontal="center" vertical="center"/>
      <protection hidden="1"/>
    </xf>
    <xf numFmtId="9" fontId="6" fillId="8" borderId="1" xfId="0" applyNumberFormat="1" applyFont="1" applyFill="1" applyBorder="1" applyAlignment="1">
      <alignment horizontal="left"/>
    </xf>
    <xf numFmtId="0" fontId="6" fillId="8" borderId="1" xfId="0" applyFont="1" applyFill="1" applyBorder="1"/>
    <xf numFmtId="0" fontId="3" fillId="8" borderId="1" xfId="0" applyFont="1" applyFill="1" applyBorder="1" applyAlignment="1">
      <alignment horizontal="left"/>
    </xf>
    <xf numFmtId="0" fontId="3" fillId="10" borderId="1" xfId="0" applyFont="1" applyFill="1" applyBorder="1"/>
    <xf numFmtId="0" fontId="18" fillId="10" borderId="1" xfId="0" applyFont="1" applyFill="1" applyBorder="1" applyAlignment="1">
      <alignment vertical="center"/>
    </xf>
    <xf numFmtId="0" fontId="20" fillId="10" borderId="1" xfId="0" applyFont="1" applyFill="1" applyBorder="1"/>
    <xf numFmtId="9" fontId="3" fillId="8" borderId="1" xfId="0" applyNumberFormat="1" applyFont="1" applyFill="1" applyBorder="1"/>
    <xf numFmtId="9" fontId="6" fillId="8" borderId="1" xfId="0" applyNumberFormat="1" applyFont="1" applyFill="1" applyBorder="1"/>
    <xf numFmtId="0" fontId="17" fillId="0" borderId="0" xfId="0" applyFont="1" applyAlignment="1">
      <alignment horizontal="left" wrapText="1"/>
    </xf>
    <xf numFmtId="0" fontId="18" fillId="0" borderId="83" xfId="0" applyFont="1" applyBorder="1" applyAlignment="1">
      <alignment vertical="center" wrapText="1"/>
    </xf>
    <xf numFmtId="0" fontId="18" fillId="0" borderId="84" xfId="0" applyFont="1" applyBorder="1" applyAlignment="1">
      <alignment vertical="center" wrapText="1"/>
    </xf>
    <xf numFmtId="0" fontId="18" fillId="0" borderId="85" xfId="0" applyFont="1" applyBorder="1" applyAlignment="1">
      <alignment vertical="center"/>
    </xf>
    <xf numFmtId="0" fontId="18" fillId="0" borderId="86" xfId="0" applyFont="1" applyBorder="1" applyAlignment="1">
      <alignment vertical="center"/>
    </xf>
    <xf numFmtId="0" fontId="2" fillId="4" borderId="5" xfId="4" applyFont="1" applyFill="1" applyBorder="1" applyAlignment="1">
      <alignment horizontal="center" vertical="center" wrapText="1"/>
    </xf>
    <xf numFmtId="0" fontId="2" fillId="4" borderId="0" xfId="4" applyFont="1" applyFill="1" applyAlignment="1">
      <alignment horizontal="center" vertical="center" wrapText="1"/>
    </xf>
    <xf numFmtId="3" fontId="9" fillId="3" borderId="0" xfId="4" applyNumberFormat="1" applyFont="1" applyFill="1" applyAlignment="1" applyProtection="1">
      <alignment horizontal="right"/>
      <protection locked="0"/>
    </xf>
    <xf numFmtId="0" fontId="10" fillId="4" borderId="5" xfId="4" applyFont="1" applyFill="1" applyBorder="1" applyAlignment="1">
      <alignment horizontal="left" vertical="center" wrapText="1"/>
    </xf>
    <xf numFmtId="0" fontId="10" fillId="4" borderId="0" xfId="4" applyFont="1" applyFill="1" applyAlignment="1">
      <alignment horizontal="left" vertical="center" wrapText="1"/>
    </xf>
    <xf numFmtId="0" fontId="10" fillId="13" borderId="0" xfId="4" applyFont="1" applyFill="1" applyAlignment="1">
      <alignment horizontal="center" vertical="top" wrapText="1"/>
    </xf>
    <xf numFmtId="0" fontId="7" fillId="4" borderId="43" xfId="4" applyFont="1" applyFill="1" applyBorder="1" applyAlignment="1">
      <alignment horizontal="left" vertical="center" wrapText="1"/>
    </xf>
    <xf numFmtId="0" fontId="7" fillId="4" borderId="11" xfId="4" applyFont="1" applyFill="1" applyBorder="1" applyAlignment="1">
      <alignment horizontal="left" vertical="center" wrapText="1"/>
    </xf>
    <xf numFmtId="0" fontId="24" fillId="3" borderId="5" xfId="4" applyFont="1" applyFill="1" applyBorder="1" applyAlignment="1">
      <alignment horizontal="center" vertical="center" wrapText="1"/>
    </xf>
    <xf numFmtId="0" fontId="24" fillId="3" borderId="0" xfId="4" applyFont="1" applyFill="1" applyAlignment="1">
      <alignment horizontal="center" vertical="center" wrapText="1"/>
    </xf>
    <xf numFmtId="0" fontId="10" fillId="4" borderId="0" xfId="4" applyFont="1" applyFill="1" applyAlignment="1" applyProtection="1">
      <alignment horizontal="center"/>
      <protection locked="0"/>
    </xf>
    <xf numFmtId="0" fontId="10" fillId="4" borderId="43" xfId="4" applyFont="1" applyFill="1" applyBorder="1" applyAlignment="1">
      <alignment horizontal="left" wrapText="1"/>
    </xf>
    <xf numFmtId="0" fontId="10" fillId="4" borderId="11" xfId="4" applyFont="1" applyFill="1" applyBorder="1" applyAlignment="1">
      <alignment horizontal="left" wrapText="1"/>
    </xf>
    <xf numFmtId="0" fontId="10" fillId="4" borderId="43" xfId="4" applyFont="1" applyFill="1" applyBorder="1" applyAlignment="1" applyProtection="1">
      <alignment horizontal="left"/>
      <protection locked="0"/>
    </xf>
    <xf numFmtId="0" fontId="10" fillId="4" borderId="11" xfId="4" applyFont="1" applyFill="1" applyBorder="1" applyAlignment="1" applyProtection="1">
      <alignment horizontal="left"/>
      <protection locked="0"/>
    </xf>
    <xf numFmtId="0" fontId="12" fillId="3" borderId="53" xfId="4" applyFont="1" applyFill="1" applyBorder="1" applyAlignment="1">
      <alignment horizontal="left" vertical="center" wrapText="1"/>
    </xf>
    <xf numFmtId="0" fontId="12" fillId="3" borderId="0" xfId="4" applyFont="1" applyFill="1" applyAlignment="1">
      <alignment horizontal="left" vertical="center" wrapText="1"/>
    </xf>
    <xf numFmtId="0" fontId="12" fillId="3" borderId="52" xfId="4" applyFont="1" applyFill="1" applyBorder="1" applyAlignment="1">
      <alignment horizontal="left" vertical="center" wrapText="1"/>
    </xf>
    <xf numFmtId="167" fontId="14" fillId="3" borderId="0" xfId="5" applyNumberFormat="1" applyFont="1" applyFill="1" applyBorder="1" applyAlignment="1" applyProtection="1">
      <alignment horizontal="right" vertical="center"/>
    </xf>
    <xf numFmtId="167" fontId="14" fillId="3" borderId="44" xfId="5" applyNumberFormat="1" applyFont="1" applyFill="1" applyBorder="1" applyAlignment="1" applyProtection="1">
      <alignment horizontal="right" vertical="center"/>
    </xf>
    <xf numFmtId="0" fontId="13" fillId="3" borderId="5" xfId="4" applyFont="1" applyFill="1" applyBorder="1" applyAlignment="1">
      <alignment horizontal="left" vertical="center" wrapText="1"/>
    </xf>
    <xf numFmtId="0" fontId="13" fillId="3" borderId="0" xfId="4" applyFont="1" applyFill="1" applyAlignment="1">
      <alignment horizontal="left" vertical="center" wrapText="1"/>
    </xf>
    <xf numFmtId="3" fontId="5" fillId="3" borderId="0" xfId="4" applyNumberFormat="1" applyFont="1" applyFill="1" applyAlignment="1">
      <alignment horizontal="right" vertical="center"/>
    </xf>
    <xf numFmtId="3" fontId="5" fillId="3" borderId="44" xfId="4" applyNumberFormat="1" applyFont="1" applyFill="1" applyBorder="1" applyAlignment="1">
      <alignment horizontal="right" vertical="center"/>
    </xf>
    <xf numFmtId="0" fontId="12" fillId="4" borderId="53" xfId="4" applyFont="1" applyFill="1" applyBorder="1" applyAlignment="1">
      <alignment horizontal="left" vertical="center" wrapText="1"/>
    </xf>
    <xf numFmtId="0" fontId="12" fillId="4" borderId="0" xfId="4" applyFont="1" applyFill="1" applyAlignment="1">
      <alignment horizontal="left" vertical="center" wrapText="1"/>
    </xf>
    <xf numFmtId="0" fontId="12" fillId="4" borderId="52" xfId="4" applyFont="1" applyFill="1" applyBorder="1" applyAlignment="1">
      <alignment horizontal="left" vertical="center" wrapText="1"/>
    </xf>
    <xf numFmtId="167" fontId="14" fillId="4" borderId="0" xfId="5" applyNumberFormat="1" applyFont="1" applyFill="1" applyBorder="1" applyAlignment="1" applyProtection="1">
      <alignment horizontal="right" vertical="center"/>
    </xf>
    <xf numFmtId="167" fontId="14" fillId="4" borderId="44" xfId="5" applyNumberFormat="1" applyFont="1" applyFill="1" applyBorder="1" applyAlignment="1" applyProtection="1">
      <alignment horizontal="right" vertical="center"/>
    </xf>
    <xf numFmtId="0" fontId="13" fillId="4" borderId="5" xfId="4" applyFont="1" applyFill="1" applyBorder="1" applyAlignment="1">
      <alignment horizontal="left" vertical="center" wrapText="1"/>
    </xf>
    <xf numFmtId="0" fontId="13" fillId="4" borderId="0" xfId="4" applyFont="1" applyFill="1" applyAlignment="1">
      <alignment horizontal="left" vertical="center" wrapText="1"/>
    </xf>
    <xf numFmtId="3" fontId="5" fillId="4" borderId="0" xfId="4" applyNumberFormat="1" applyFont="1" applyFill="1" applyAlignment="1">
      <alignment horizontal="right" vertical="center" wrapText="1"/>
    </xf>
    <xf numFmtId="3" fontId="5" fillId="4" borderId="44" xfId="4" applyNumberFormat="1" applyFont="1" applyFill="1" applyBorder="1" applyAlignment="1">
      <alignment horizontal="right" vertical="center" wrapText="1"/>
    </xf>
    <xf numFmtId="0" fontId="13" fillId="3" borderId="50" xfId="4" applyFont="1" applyFill="1" applyBorder="1" applyAlignment="1">
      <alignment horizontal="left" vertical="center" wrapText="1"/>
    </xf>
    <xf numFmtId="0" fontId="13" fillId="3" borderId="11" xfId="4" applyFont="1" applyFill="1" applyBorder="1" applyAlignment="1">
      <alignment horizontal="left" vertical="center" wrapText="1"/>
    </xf>
    <xf numFmtId="0" fontId="13" fillId="3" borderId="49" xfId="4" applyFont="1" applyFill="1" applyBorder="1" applyAlignment="1">
      <alignment horizontal="left" vertical="center" wrapText="1"/>
    </xf>
    <xf numFmtId="167" fontId="5" fillId="3" borderId="0" xfId="5" applyNumberFormat="1" applyFont="1" applyFill="1" applyBorder="1" applyAlignment="1" applyProtection="1">
      <alignment horizontal="right" vertical="center"/>
    </xf>
    <xf numFmtId="0" fontId="10" fillId="3" borderId="47" xfId="4" applyFont="1" applyFill="1" applyBorder="1" applyAlignment="1">
      <alignment horizontal="left" vertical="center" wrapText="1"/>
    </xf>
    <xf numFmtId="0" fontId="10" fillId="3" borderId="46" xfId="4" applyFont="1" applyFill="1" applyBorder="1" applyAlignment="1">
      <alignment horizontal="left" vertical="center" wrapText="1"/>
    </xf>
    <xf numFmtId="0" fontId="10" fillId="3" borderId="4" xfId="4" applyFont="1" applyFill="1" applyBorder="1" applyAlignment="1">
      <alignment horizontal="left" vertical="center" wrapText="1"/>
    </xf>
    <xf numFmtId="0" fontId="12" fillId="3" borderId="4" xfId="4" applyFont="1" applyFill="1" applyBorder="1" applyAlignment="1">
      <alignment horizontal="left" vertical="center" wrapText="1"/>
    </xf>
    <xf numFmtId="0" fontId="13" fillId="4" borderId="61" xfId="4" applyFont="1" applyFill="1" applyBorder="1" applyAlignment="1">
      <alignment horizontal="left" vertical="center" wrapText="1"/>
    </xf>
    <xf numFmtId="0" fontId="13" fillId="4" borderId="59" xfId="4" applyFont="1" applyFill="1" applyBorder="1" applyAlignment="1">
      <alignment horizontal="left" vertical="center" wrapText="1"/>
    </xf>
    <xf numFmtId="0" fontId="13" fillId="4" borderId="58" xfId="4" applyFont="1" applyFill="1" applyBorder="1" applyAlignment="1">
      <alignment horizontal="left" vertical="center" wrapText="1"/>
    </xf>
    <xf numFmtId="167" fontId="5" fillId="4" borderId="59" xfId="5" applyNumberFormat="1" applyFont="1" applyFill="1" applyBorder="1" applyAlignment="1" applyProtection="1">
      <alignment horizontal="right" vertical="center"/>
    </xf>
    <xf numFmtId="167" fontId="5" fillId="4" borderId="58" xfId="5" applyNumberFormat="1" applyFont="1" applyFill="1" applyBorder="1" applyAlignment="1" applyProtection="1">
      <alignment horizontal="right" vertical="center"/>
    </xf>
    <xf numFmtId="0" fontId="12" fillId="4" borderId="5" xfId="4" applyFont="1" applyFill="1" applyBorder="1" applyAlignment="1">
      <alignment horizontal="left" vertical="center" wrapText="1"/>
    </xf>
    <xf numFmtId="3" fontId="14" fillId="4" borderId="0" xfId="4" applyNumberFormat="1" applyFont="1" applyFill="1" applyAlignment="1">
      <alignment horizontal="right" vertical="center"/>
    </xf>
    <xf numFmtId="3" fontId="14" fillId="4" borderId="44" xfId="4" applyNumberFormat="1" applyFont="1" applyFill="1" applyBorder="1" applyAlignment="1">
      <alignment horizontal="right" vertical="center"/>
    </xf>
    <xf numFmtId="0" fontId="10" fillId="3" borderId="47" xfId="4" applyFont="1" applyFill="1" applyBorder="1" applyAlignment="1">
      <alignment horizontal="left" vertical="center"/>
    </xf>
    <xf numFmtId="0" fontId="10" fillId="3" borderId="46" xfId="4" applyFont="1" applyFill="1" applyBorder="1" applyAlignment="1">
      <alignment horizontal="left" vertical="center"/>
    </xf>
    <xf numFmtId="0" fontId="10" fillId="3" borderId="45" xfId="4" applyFont="1" applyFill="1" applyBorder="1" applyAlignment="1">
      <alignment horizontal="left" vertical="center"/>
    </xf>
    <xf numFmtId="0" fontId="4" fillId="0" borderId="54" xfId="4" applyFont="1" applyBorder="1" applyAlignment="1">
      <alignment horizontal="center" vertical="center" textRotation="90"/>
    </xf>
    <xf numFmtId="0" fontId="4" fillId="0" borderId="48" xfId="4" applyFont="1" applyBorder="1" applyAlignment="1">
      <alignment horizontal="center" vertical="center" textRotation="90"/>
    </xf>
    <xf numFmtId="0" fontId="4" fillId="0" borderId="51" xfId="4" applyFont="1" applyBorder="1" applyAlignment="1">
      <alignment horizontal="center" vertical="center" textRotation="90"/>
    </xf>
    <xf numFmtId="0" fontId="13" fillId="3" borderId="57" xfId="4" applyFont="1" applyFill="1" applyBorder="1" applyAlignment="1">
      <alignment horizontal="left" vertical="center" wrapText="1"/>
    </xf>
    <xf numFmtId="0" fontId="13" fillId="3" borderId="56" xfId="4" applyFont="1" applyFill="1" applyBorder="1" applyAlignment="1">
      <alignment horizontal="left" vertical="center" wrapText="1"/>
    </xf>
    <xf numFmtId="0" fontId="13" fillId="3" borderId="55" xfId="4" applyFont="1" applyFill="1" applyBorder="1" applyAlignment="1">
      <alignment horizontal="left" vertical="center" wrapText="1"/>
    </xf>
    <xf numFmtId="0" fontId="12" fillId="3" borderId="5" xfId="4" applyFont="1" applyFill="1" applyBorder="1" applyAlignment="1">
      <alignment horizontal="left" vertical="center" wrapText="1"/>
    </xf>
    <xf numFmtId="3" fontId="14" fillId="3" borderId="0" xfId="4" applyNumberFormat="1" applyFont="1" applyFill="1" applyAlignment="1">
      <alignment horizontal="right" vertical="center"/>
    </xf>
    <xf numFmtId="3" fontId="14" fillId="3" borderId="44" xfId="4" applyNumberFormat="1" applyFont="1" applyFill="1" applyBorder="1" applyAlignment="1">
      <alignment horizontal="right" vertical="center"/>
    </xf>
    <xf numFmtId="0" fontId="13" fillId="4" borderId="53" xfId="4" applyFont="1" applyFill="1" applyBorder="1" applyAlignment="1">
      <alignment horizontal="left" vertical="center" wrapText="1"/>
    </xf>
    <xf numFmtId="0" fontId="13" fillId="4" borderId="52" xfId="4" applyFont="1" applyFill="1" applyBorder="1" applyAlignment="1">
      <alignment horizontal="left" vertical="center" wrapText="1"/>
    </xf>
    <xf numFmtId="3" fontId="14" fillId="4" borderId="0" xfId="4" applyNumberFormat="1" applyFont="1" applyFill="1" applyAlignment="1" applyProtection="1">
      <alignment horizontal="right" vertical="center"/>
      <protection locked="0"/>
    </xf>
    <xf numFmtId="3" fontId="14" fillId="4" borderId="44" xfId="4" applyNumberFormat="1" applyFont="1" applyFill="1" applyBorder="1" applyAlignment="1" applyProtection="1">
      <alignment horizontal="right" vertical="center"/>
      <protection locked="0"/>
    </xf>
    <xf numFmtId="0" fontId="13" fillId="3" borderId="53" xfId="4" applyFont="1" applyFill="1" applyBorder="1" applyAlignment="1">
      <alignment horizontal="left" vertical="center" wrapText="1"/>
    </xf>
    <xf numFmtId="0" fontId="13" fillId="3" borderId="52" xfId="4" applyFont="1" applyFill="1" applyBorder="1" applyAlignment="1">
      <alignment horizontal="left" vertical="center" wrapText="1"/>
    </xf>
    <xf numFmtId="0" fontId="13" fillId="0" borderId="53" xfId="4" applyFont="1" applyBorder="1" applyAlignment="1">
      <alignment horizontal="left" vertical="center" wrapText="1"/>
    </xf>
    <xf numFmtId="0" fontId="13" fillId="0" borderId="0" xfId="4" applyFont="1" applyAlignment="1">
      <alignment horizontal="left" vertical="center" wrapText="1"/>
    </xf>
    <xf numFmtId="0" fontId="13" fillId="0" borderId="44" xfId="4" applyFont="1" applyBorder="1" applyAlignment="1">
      <alignment horizontal="left" vertical="center" wrapText="1"/>
    </xf>
    <xf numFmtId="0" fontId="12" fillId="0" borderId="53" xfId="4" applyFont="1" applyBorder="1" applyAlignment="1">
      <alignment horizontal="left" vertical="center" wrapText="1"/>
    </xf>
    <xf numFmtId="0" fontId="12" fillId="0" borderId="0" xfId="4" applyFont="1" applyAlignment="1">
      <alignment horizontal="left" vertical="center" wrapText="1"/>
    </xf>
    <xf numFmtId="0" fontId="12" fillId="0" borderId="44" xfId="4" applyFont="1" applyBorder="1" applyAlignment="1">
      <alignment horizontal="left" vertical="center" wrapText="1"/>
    </xf>
    <xf numFmtId="0" fontId="13" fillId="3" borderId="47" xfId="4" applyFont="1" applyFill="1" applyBorder="1" applyAlignment="1">
      <alignment horizontal="left" vertical="center" wrapText="1"/>
    </xf>
    <xf numFmtId="0" fontId="13" fillId="3" borderId="46" xfId="4" applyFont="1" applyFill="1" applyBorder="1" applyAlignment="1">
      <alignment horizontal="left" vertical="center" wrapText="1"/>
    </xf>
    <xf numFmtId="3" fontId="5" fillId="3" borderId="46" xfId="4" applyNumberFormat="1" applyFont="1" applyFill="1" applyBorder="1" applyAlignment="1">
      <alignment horizontal="right" vertical="center"/>
    </xf>
    <xf numFmtId="3" fontId="5" fillId="3" borderId="45" xfId="4" applyNumberFormat="1" applyFont="1" applyFill="1" applyBorder="1" applyAlignment="1">
      <alignment horizontal="right" vertical="center"/>
    </xf>
    <xf numFmtId="167" fontId="5" fillId="4" borderId="0" xfId="5" applyNumberFormat="1" applyFont="1" applyFill="1" applyBorder="1" applyAlignment="1" applyProtection="1">
      <alignment horizontal="right" vertical="center"/>
    </xf>
    <xf numFmtId="167" fontId="5" fillId="4" borderId="44" xfId="5" applyNumberFormat="1" applyFont="1" applyFill="1" applyBorder="1" applyAlignment="1" applyProtection="1">
      <alignment horizontal="right" vertical="center"/>
    </xf>
    <xf numFmtId="3" fontId="5" fillId="4" borderId="0" xfId="4" applyNumberFormat="1" applyFont="1" applyFill="1" applyAlignment="1">
      <alignment horizontal="right" vertical="center"/>
    </xf>
    <xf numFmtId="3" fontId="5" fillId="4" borderId="44" xfId="4" applyNumberFormat="1" applyFont="1" applyFill="1" applyBorder="1" applyAlignment="1">
      <alignment horizontal="right" vertical="center"/>
    </xf>
    <xf numFmtId="3" fontId="14" fillId="3" borderId="0" xfId="4" applyNumberFormat="1" applyFont="1" applyFill="1" applyAlignment="1">
      <alignment horizontal="right" vertical="center" wrapText="1"/>
    </xf>
    <xf numFmtId="3" fontId="14" fillId="3" borderId="44" xfId="4" applyNumberFormat="1" applyFont="1" applyFill="1" applyBorder="1" applyAlignment="1">
      <alignment horizontal="right" vertical="center" wrapText="1"/>
    </xf>
    <xf numFmtId="167" fontId="5" fillId="3" borderId="44" xfId="5" applyNumberFormat="1" applyFont="1" applyFill="1" applyBorder="1" applyAlignment="1" applyProtection="1">
      <alignment horizontal="right" vertical="center"/>
    </xf>
    <xf numFmtId="0" fontId="13" fillId="4" borderId="44" xfId="4" applyFont="1" applyFill="1" applyBorder="1" applyAlignment="1">
      <alignment horizontal="left" vertical="center" wrapText="1"/>
    </xf>
    <xf numFmtId="0" fontId="9" fillId="3" borderId="54" xfId="4" applyFont="1" applyFill="1" applyBorder="1" applyAlignment="1">
      <alignment horizontal="center" vertical="center" textRotation="90"/>
    </xf>
    <xf numFmtId="0" fontId="9" fillId="3" borderId="48" xfId="4" applyFont="1" applyFill="1" applyBorder="1" applyAlignment="1">
      <alignment horizontal="center" vertical="center" textRotation="90"/>
    </xf>
    <xf numFmtId="0" fontId="9" fillId="3" borderId="62" xfId="4" applyFont="1" applyFill="1" applyBorder="1" applyAlignment="1">
      <alignment horizontal="center" vertical="center" textRotation="90"/>
    </xf>
    <xf numFmtId="0" fontId="12" fillId="0" borderId="64" xfId="4" applyFont="1" applyBorder="1" applyAlignment="1">
      <alignment horizontal="left" vertical="center" wrapText="1"/>
    </xf>
    <xf numFmtId="0" fontId="12" fillId="0" borderId="46" xfId="4" applyFont="1" applyBorder="1" applyAlignment="1">
      <alignment horizontal="left" vertical="center" wrapText="1"/>
    </xf>
    <xf numFmtId="0" fontId="12" fillId="0" borderId="45" xfId="4" applyFont="1" applyBorder="1" applyAlignment="1">
      <alignment horizontal="left" vertical="center" wrapText="1"/>
    </xf>
    <xf numFmtId="0" fontId="10" fillId="3" borderId="0" xfId="4" applyFont="1" applyFill="1" applyAlignment="1">
      <alignment horizontal="left" vertical="center" wrapText="1"/>
    </xf>
    <xf numFmtId="0" fontId="12" fillId="4" borderId="44" xfId="4" applyFont="1" applyFill="1" applyBorder="1" applyAlignment="1">
      <alignment horizontal="left" vertical="center" wrapText="1"/>
    </xf>
    <xf numFmtId="0" fontId="13" fillId="4" borderId="11" xfId="4" applyFont="1" applyFill="1" applyBorder="1" applyAlignment="1">
      <alignment horizontal="left" vertical="center" wrapText="1"/>
    </xf>
    <xf numFmtId="3" fontId="5" fillId="4" borderId="11" xfId="4" applyNumberFormat="1" applyFont="1" applyFill="1" applyBorder="1" applyAlignment="1">
      <alignment horizontal="right" vertical="center"/>
    </xf>
    <xf numFmtId="3" fontId="5" fillId="4" borderId="8" xfId="4" applyNumberFormat="1" applyFont="1" applyFill="1" applyBorder="1" applyAlignment="1">
      <alignment horizontal="right" vertical="center"/>
    </xf>
    <xf numFmtId="0" fontId="11" fillId="3" borderId="63" xfId="4" applyFont="1" applyFill="1" applyBorder="1" applyAlignment="1">
      <alignment horizontal="center" vertical="center" textRotation="90" wrapText="1"/>
    </xf>
    <xf numFmtId="0" fontId="11" fillId="3" borderId="7" xfId="4" applyFont="1" applyFill="1" applyBorder="1" applyAlignment="1">
      <alignment horizontal="center" vertical="center" textRotation="90" wrapText="1"/>
    </xf>
    <xf numFmtId="0" fontId="11" fillId="3" borderId="9" xfId="4" applyFont="1" applyFill="1" applyBorder="1" applyAlignment="1">
      <alignment horizontal="center" vertical="center" textRotation="90" wrapText="1"/>
    </xf>
    <xf numFmtId="0" fontId="12" fillId="3" borderId="46" xfId="4" applyFont="1" applyFill="1" applyBorder="1" applyAlignment="1">
      <alignment horizontal="left" vertical="center" wrapText="1"/>
    </xf>
    <xf numFmtId="3" fontId="14" fillId="3" borderId="46" xfId="4" applyNumberFormat="1" applyFont="1" applyFill="1" applyBorder="1" applyAlignment="1">
      <alignment horizontal="right" vertical="center"/>
    </xf>
    <xf numFmtId="3" fontId="14" fillId="3" borderId="45" xfId="4" applyNumberFormat="1" applyFont="1" applyFill="1" applyBorder="1" applyAlignment="1">
      <alignment horizontal="right" vertical="center"/>
    </xf>
    <xf numFmtId="0" fontId="4" fillId="3" borderId="63" xfId="4" applyFont="1" applyFill="1" applyBorder="1" applyAlignment="1">
      <alignment horizontal="center" vertical="center" textRotation="90" wrapText="1"/>
    </xf>
    <xf numFmtId="0" fontId="4" fillId="3" borderId="7" xfId="4" applyFont="1" applyFill="1" applyBorder="1" applyAlignment="1">
      <alignment horizontal="center" vertical="center" textRotation="90" wrapText="1"/>
    </xf>
    <xf numFmtId="0" fontId="9" fillId="0" borderId="47" xfId="4" applyFont="1" applyBorder="1" applyAlignment="1">
      <alignment horizontal="center" vertical="center" textRotation="90" wrapText="1"/>
    </xf>
    <xf numFmtId="0" fontId="9" fillId="0" borderId="45" xfId="4" applyFont="1" applyBorder="1" applyAlignment="1">
      <alignment horizontal="center" vertical="center" textRotation="90" wrapText="1"/>
    </xf>
    <xf numFmtId="0" fontId="9" fillId="0" borderId="5" xfId="4" applyFont="1" applyBorder="1" applyAlignment="1">
      <alignment horizontal="center" vertical="center" textRotation="90" wrapText="1"/>
    </xf>
    <xf numFmtId="0" fontId="9" fillId="0" borderId="44" xfId="4" applyFont="1" applyBorder="1" applyAlignment="1">
      <alignment horizontal="center" vertical="center" textRotation="90" wrapText="1"/>
    </xf>
    <xf numFmtId="0" fontId="9" fillId="0" borderId="43" xfId="4" applyFont="1" applyBorder="1" applyAlignment="1">
      <alignment horizontal="center" vertical="center" textRotation="90" wrapText="1"/>
    </xf>
    <xf numFmtId="0" fontId="9" fillId="0" borderId="8" xfId="4" applyFont="1" applyBorder="1" applyAlignment="1">
      <alignment horizontal="center" vertical="center" textRotation="90" wrapText="1"/>
    </xf>
    <xf numFmtId="167" fontId="5" fillId="4" borderId="5" xfId="5" applyNumberFormat="1" applyFont="1" applyFill="1" applyBorder="1" applyAlignment="1" applyProtection="1">
      <alignment horizontal="right" vertical="center"/>
    </xf>
    <xf numFmtId="0" fontId="13" fillId="4" borderId="50" xfId="4" applyFont="1" applyFill="1" applyBorder="1" applyAlignment="1">
      <alignment horizontal="left" vertical="center" wrapText="1"/>
    </xf>
    <xf numFmtId="0" fontId="13" fillId="4" borderId="8" xfId="4" applyFont="1" applyFill="1" applyBorder="1" applyAlignment="1">
      <alignment horizontal="left" vertical="center" wrapText="1"/>
    </xf>
    <xf numFmtId="167" fontId="5" fillId="4" borderId="11" xfId="5" applyNumberFormat="1" applyFont="1" applyFill="1" applyBorder="1" applyAlignment="1" applyProtection="1">
      <alignment horizontal="right" vertical="center"/>
    </xf>
    <xf numFmtId="0" fontId="11" fillId="4" borderId="43" xfId="4" applyFont="1" applyFill="1" applyBorder="1" applyAlignment="1">
      <alignment horizontal="left" vertical="center" wrapText="1"/>
    </xf>
    <xf numFmtId="0" fontId="11" fillId="4" borderId="11" xfId="4" applyFont="1" applyFill="1" applyBorder="1" applyAlignment="1">
      <alignment horizontal="left" vertical="center" wrapText="1"/>
    </xf>
    <xf numFmtId="0" fontId="11" fillId="4" borderId="8" xfId="4" applyFont="1" applyFill="1" applyBorder="1" applyAlignment="1">
      <alignment horizontal="left" vertical="center" wrapText="1"/>
    </xf>
    <xf numFmtId="3" fontId="5" fillId="4" borderId="11" xfId="4" applyNumberFormat="1" applyFont="1" applyFill="1" applyBorder="1" applyAlignment="1">
      <alignment horizontal="right" vertical="center" wrapText="1"/>
    </xf>
    <xf numFmtId="3" fontId="5" fillId="4" borderId="8" xfId="4" applyNumberFormat="1" applyFont="1" applyFill="1" applyBorder="1" applyAlignment="1">
      <alignment horizontal="right" vertical="center" wrapText="1"/>
    </xf>
    <xf numFmtId="0" fontId="9" fillId="3" borderId="63" xfId="4" applyFont="1" applyFill="1" applyBorder="1" applyAlignment="1">
      <alignment horizontal="center" vertical="center" textRotation="90" wrapText="1"/>
    </xf>
    <xf numFmtId="0" fontId="9" fillId="3" borderId="7" xfId="4" applyFont="1" applyFill="1" applyBorder="1" applyAlignment="1">
      <alignment horizontal="center" vertical="center" textRotation="90" wrapText="1"/>
    </xf>
    <xf numFmtId="0" fontId="9" fillId="3" borderId="9" xfId="4" applyFont="1" applyFill="1" applyBorder="1" applyAlignment="1">
      <alignment horizontal="center" vertical="center" textRotation="90" wrapText="1"/>
    </xf>
    <xf numFmtId="167" fontId="14" fillId="4" borderId="0" xfId="5" applyNumberFormat="1" applyFont="1" applyFill="1" applyBorder="1" applyAlignment="1" applyProtection="1">
      <alignment horizontal="right" vertical="center"/>
      <protection hidden="1"/>
    </xf>
    <xf numFmtId="3" fontId="14" fillId="4" borderId="11" xfId="4" applyNumberFormat="1" applyFont="1" applyFill="1" applyBorder="1" applyAlignment="1">
      <alignment horizontal="right" vertical="center"/>
    </xf>
    <xf numFmtId="3" fontId="14" fillId="4" borderId="8" xfId="4" applyNumberFormat="1" applyFont="1" applyFill="1" applyBorder="1" applyAlignment="1">
      <alignment horizontal="right" vertical="center"/>
    </xf>
    <xf numFmtId="0" fontId="13" fillId="3" borderId="8" xfId="4" applyFont="1" applyFill="1" applyBorder="1" applyAlignment="1">
      <alignment horizontal="left" vertical="center" wrapText="1"/>
    </xf>
    <xf numFmtId="3" fontId="14" fillId="3" borderId="0" xfId="4" applyNumberFormat="1" applyFont="1" applyFill="1" applyAlignment="1" applyProtection="1">
      <alignment horizontal="right" vertical="center" wrapText="1"/>
      <protection hidden="1"/>
    </xf>
    <xf numFmtId="3" fontId="14" fillId="3" borderId="44" xfId="4" applyNumberFormat="1" applyFont="1" applyFill="1" applyBorder="1" applyAlignment="1" applyProtection="1">
      <alignment horizontal="right" vertical="center" wrapText="1"/>
      <protection hidden="1"/>
    </xf>
    <xf numFmtId="167" fontId="14" fillId="3" borderId="0" xfId="5" applyNumberFormat="1" applyFont="1" applyFill="1" applyBorder="1" applyAlignment="1" applyProtection="1">
      <alignment horizontal="right" vertical="center"/>
      <protection hidden="1"/>
    </xf>
    <xf numFmtId="3" fontId="14" fillId="4" borderId="0" xfId="4" applyNumberFormat="1" applyFont="1" applyFill="1" applyAlignment="1" applyProtection="1">
      <alignment horizontal="right" vertical="center" wrapText="1"/>
      <protection hidden="1"/>
    </xf>
    <xf numFmtId="3" fontId="14" fillId="4" borderId="44" xfId="4" applyNumberFormat="1" applyFont="1" applyFill="1" applyBorder="1" applyAlignment="1" applyProtection="1">
      <alignment horizontal="right" vertical="center" wrapText="1"/>
      <protection hidden="1"/>
    </xf>
    <xf numFmtId="3" fontId="5" fillId="4" borderId="0" xfId="4" applyNumberFormat="1" applyFont="1" applyFill="1" applyAlignment="1" applyProtection="1">
      <alignment horizontal="right" vertical="center" wrapText="1"/>
      <protection hidden="1"/>
    </xf>
    <xf numFmtId="3" fontId="5" fillId="4" borderId="44" xfId="4" applyNumberFormat="1" applyFont="1" applyFill="1" applyBorder="1" applyAlignment="1" applyProtection="1">
      <alignment horizontal="right" vertical="center" wrapText="1"/>
      <protection hidden="1"/>
    </xf>
    <xf numFmtId="0" fontId="9" fillId="3" borderId="54" xfId="4" applyFont="1" applyFill="1" applyBorder="1" applyAlignment="1">
      <alignment horizontal="center" vertical="center" textRotation="90" wrapText="1"/>
    </xf>
    <xf numFmtId="0" fontId="9" fillId="3" borderId="48" xfId="4" applyFont="1" applyFill="1" applyBorder="1" applyAlignment="1">
      <alignment horizontal="center" vertical="center" textRotation="90" wrapText="1"/>
    </xf>
    <xf numFmtId="0" fontId="9" fillId="3" borderId="62" xfId="4" applyFont="1" applyFill="1" applyBorder="1" applyAlignment="1">
      <alignment horizontal="center" vertical="center" textRotation="90" wrapText="1"/>
    </xf>
    <xf numFmtId="0" fontId="10" fillId="3" borderId="47" xfId="4" applyFont="1" applyFill="1" applyBorder="1" applyAlignment="1">
      <alignment horizontal="left" vertical="top"/>
    </xf>
    <xf numFmtId="0" fontId="10" fillId="3" borderId="46" xfId="4" applyFont="1" applyFill="1" applyBorder="1" applyAlignment="1">
      <alignment horizontal="left" vertical="top"/>
    </xf>
    <xf numFmtId="0" fontId="10" fillId="3" borderId="45" xfId="4" applyFont="1" applyFill="1" applyBorder="1" applyAlignment="1">
      <alignment horizontal="left" vertical="top"/>
    </xf>
    <xf numFmtId="3" fontId="2" fillId="3" borderId="8" xfId="4" applyNumberFormat="1" applyFont="1" applyFill="1" applyBorder="1" applyAlignment="1" applyProtection="1">
      <alignment horizontal="center" wrapText="1"/>
      <protection locked="0"/>
    </xf>
    <xf numFmtId="3" fontId="2" fillId="3" borderId="9" xfId="4" applyNumberFormat="1" applyFont="1" applyFill="1" applyBorder="1" applyAlignment="1" applyProtection="1">
      <alignment horizontal="center" wrapText="1"/>
      <protection locked="0"/>
    </xf>
    <xf numFmtId="3" fontId="2" fillId="3" borderId="43" xfId="4" applyNumberFormat="1" applyFont="1" applyFill="1" applyBorder="1" applyAlignment="1" applyProtection="1">
      <alignment horizontal="left" wrapText="1"/>
      <protection locked="0"/>
    </xf>
    <xf numFmtId="3" fontId="2" fillId="3" borderId="11" xfId="4" applyNumberFormat="1" applyFont="1" applyFill="1" applyBorder="1" applyAlignment="1" applyProtection="1">
      <alignment horizontal="left" wrapText="1"/>
      <protection locked="0"/>
    </xf>
    <xf numFmtId="0" fontId="12" fillId="3" borderId="44" xfId="4" applyFont="1" applyFill="1" applyBorder="1" applyAlignment="1">
      <alignment horizontal="left" vertical="center" wrapText="1"/>
    </xf>
    <xf numFmtId="167" fontId="14" fillId="0" borderId="0" xfId="5" applyNumberFormat="1" applyFont="1" applyFill="1" applyBorder="1" applyAlignment="1" applyProtection="1">
      <alignment horizontal="right" vertical="center"/>
      <protection hidden="1"/>
    </xf>
    <xf numFmtId="0" fontId="13" fillId="0" borderId="11" xfId="4" applyFont="1" applyBorder="1" applyAlignment="1">
      <alignment horizontal="left" vertical="center" wrapText="1"/>
    </xf>
    <xf numFmtId="0" fontId="13" fillId="0" borderId="8" xfId="4" applyFont="1" applyBorder="1" applyAlignment="1">
      <alignment horizontal="left" vertical="center" wrapText="1"/>
    </xf>
    <xf numFmtId="3" fontId="14" fillId="3" borderId="11" xfId="4" applyNumberFormat="1" applyFont="1" applyFill="1" applyBorder="1" applyAlignment="1">
      <alignment horizontal="right" vertical="center"/>
    </xf>
    <xf numFmtId="3" fontId="14" fillId="3" borderId="8" xfId="4" applyNumberFormat="1" applyFont="1" applyFill="1" applyBorder="1" applyAlignment="1">
      <alignment horizontal="right" vertical="center"/>
    </xf>
    <xf numFmtId="167" fontId="5" fillId="4" borderId="0" xfId="5" applyNumberFormat="1" applyFont="1" applyFill="1" applyBorder="1" applyAlignment="1" applyProtection="1">
      <alignment horizontal="right" vertical="center"/>
      <protection hidden="1"/>
    </xf>
    <xf numFmtId="0" fontId="9" fillId="3" borderId="63" xfId="4" applyFont="1" applyFill="1" applyBorder="1" applyAlignment="1" applyProtection="1">
      <alignment horizontal="center" vertical="center" textRotation="90" wrapText="1"/>
      <protection hidden="1"/>
    </xf>
    <xf numFmtId="0" fontId="9" fillId="3" borderId="7" xfId="4" applyFont="1" applyFill="1" applyBorder="1" applyAlignment="1" applyProtection="1">
      <alignment horizontal="center" vertical="center" textRotation="90" wrapText="1"/>
      <protection hidden="1"/>
    </xf>
    <xf numFmtId="3" fontId="14" fillId="4" borderId="0" xfId="4" applyNumberFormat="1" applyFont="1" applyFill="1" applyAlignment="1" applyProtection="1">
      <alignment horizontal="right" vertical="center"/>
      <protection hidden="1"/>
    </xf>
    <xf numFmtId="3" fontId="14" fillId="4" borderId="44" xfId="4" applyNumberFormat="1" applyFont="1" applyFill="1" applyBorder="1" applyAlignment="1" applyProtection="1">
      <alignment horizontal="right" vertical="center"/>
      <protection hidden="1"/>
    </xf>
    <xf numFmtId="0" fontId="12" fillId="4" borderId="64" xfId="4" applyFont="1" applyFill="1" applyBorder="1" applyAlignment="1">
      <alignment horizontal="left" vertical="center" wrapText="1"/>
    </xf>
    <xf numFmtId="0" fontId="12" fillId="4" borderId="46" xfId="4" applyFont="1" applyFill="1" applyBorder="1" applyAlignment="1">
      <alignment horizontal="left" vertical="center" wrapText="1"/>
    </xf>
    <xf numFmtId="0" fontId="12" fillId="4" borderId="45" xfId="4" applyFont="1" applyFill="1" applyBorder="1" applyAlignment="1">
      <alignment horizontal="left" vertical="center" wrapText="1"/>
    </xf>
    <xf numFmtId="167" fontId="14" fillId="4" borderId="46" xfId="5" applyNumberFormat="1" applyFont="1" applyFill="1" applyBorder="1" applyAlignment="1" applyProtection="1">
      <alignment horizontal="right" vertical="center"/>
      <protection hidden="1"/>
    </xf>
    <xf numFmtId="0" fontId="12" fillId="0" borderId="5" xfId="4" applyFont="1" applyBorder="1" applyAlignment="1">
      <alignment horizontal="left" vertical="center" wrapText="1"/>
    </xf>
    <xf numFmtId="0" fontId="12" fillId="4" borderId="43" xfId="4" applyFont="1" applyFill="1" applyBorder="1" applyAlignment="1">
      <alignment horizontal="left" vertical="center" wrapText="1"/>
    </xf>
    <xf numFmtId="0" fontId="12" fillId="4" borderId="11" xfId="4" applyFont="1" applyFill="1" applyBorder="1" applyAlignment="1">
      <alignment horizontal="left" vertical="center" wrapText="1"/>
    </xf>
    <xf numFmtId="0" fontId="13" fillId="0" borderId="47" xfId="4" applyFont="1" applyBorder="1" applyAlignment="1">
      <alignment horizontal="center" vertical="center" textRotation="90" wrapText="1"/>
    </xf>
    <xf numFmtId="0" fontId="13" fillId="0" borderId="5" xfId="4" applyFont="1" applyBorder="1" applyAlignment="1">
      <alignment horizontal="center" vertical="center" textRotation="90" wrapText="1"/>
    </xf>
    <xf numFmtId="0" fontId="12" fillId="4" borderId="47" xfId="4" applyFont="1" applyFill="1" applyBorder="1" applyAlignment="1">
      <alignment horizontal="left" vertical="center" wrapText="1"/>
    </xf>
    <xf numFmtId="0" fontId="12" fillId="4" borderId="6" xfId="4" applyFont="1" applyFill="1" applyBorder="1" applyAlignment="1">
      <alignment horizontal="left" vertical="center" wrapText="1"/>
    </xf>
    <xf numFmtId="0" fontId="12" fillId="4" borderId="4" xfId="4" applyFont="1" applyFill="1" applyBorder="1" applyAlignment="1">
      <alignment horizontal="left" vertical="center" wrapText="1"/>
    </xf>
    <xf numFmtId="0" fontId="12" fillId="4" borderId="10" xfId="4" applyFont="1" applyFill="1" applyBorder="1" applyAlignment="1">
      <alignment horizontal="left" vertical="center" wrapText="1"/>
    </xf>
    <xf numFmtId="0" fontId="10" fillId="3" borderId="65" xfId="4" applyFont="1" applyFill="1" applyBorder="1" applyAlignment="1" applyProtection="1">
      <alignment horizontal="center" vertical="center" textRotation="90" wrapText="1"/>
      <protection hidden="1"/>
    </xf>
    <xf numFmtId="0" fontId="10" fillId="3" borderId="48" xfId="4" applyFont="1" applyFill="1" applyBorder="1" applyAlignment="1" applyProtection="1">
      <alignment horizontal="center" vertical="center" textRotation="90" wrapText="1"/>
      <protection hidden="1"/>
    </xf>
    <xf numFmtId="0" fontId="10" fillId="3" borderId="51" xfId="4" applyFont="1" applyFill="1" applyBorder="1" applyAlignment="1" applyProtection="1">
      <alignment horizontal="center" vertical="center" textRotation="90" wrapText="1"/>
      <protection hidden="1"/>
    </xf>
    <xf numFmtId="167" fontId="5" fillId="4" borderId="11" xfId="5" applyNumberFormat="1" applyFont="1" applyFill="1" applyBorder="1" applyAlignment="1" applyProtection="1">
      <alignment horizontal="right" vertical="center"/>
      <protection hidden="1"/>
    </xf>
    <xf numFmtId="0" fontId="31" fillId="3" borderId="73" xfId="4" applyFont="1" applyFill="1" applyBorder="1" applyAlignment="1">
      <alignment horizontal="center" vertical="center"/>
    </xf>
    <xf numFmtId="0" fontId="31" fillId="3" borderId="35" xfId="4" applyFont="1" applyFill="1" applyBorder="1" applyAlignment="1">
      <alignment horizontal="center" vertical="center"/>
    </xf>
    <xf numFmtId="0" fontId="31" fillId="3" borderId="36" xfId="4" applyFont="1" applyFill="1" applyBorder="1" applyAlignment="1">
      <alignment horizontal="center" vertical="center"/>
    </xf>
    <xf numFmtId="0" fontId="31" fillId="3" borderId="71" xfId="4" applyFont="1" applyFill="1" applyBorder="1" applyAlignment="1">
      <alignment horizontal="center" vertical="center"/>
    </xf>
    <xf numFmtId="0" fontId="31" fillId="3" borderId="34" xfId="4" applyFont="1" applyFill="1" applyBorder="1" applyAlignment="1">
      <alignment horizontal="center" vertical="center"/>
    </xf>
    <xf numFmtId="0" fontId="31" fillId="3" borderId="37" xfId="4" applyFont="1" applyFill="1" applyBorder="1" applyAlignment="1">
      <alignment horizontal="center" vertical="center"/>
    </xf>
    <xf numFmtId="0" fontId="31" fillId="3" borderId="69" xfId="4" applyFont="1" applyFill="1" applyBorder="1" applyAlignment="1">
      <alignment horizontal="center" vertical="center"/>
    </xf>
    <xf numFmtId="0" fontId="31" fillId="3" borderId="68" xfId="4" applyFont="1" applyFill="1" applyBorder="1" applyAlignment="1">
      <alignment horizontal="center" vertical="center"/>
    </xf>
    <xf numFmtId="0" fontId="31" fillId="3" borderId="67" xfId="4" applyFont="1" applyFill="1" applyBorder="1" applyAlignment="1">
      <alignment horizontal="center" vertical="center"/>
    </xf>
    <xf numFmtId="0" fontId="5" fillId="3" borderId="73" xfId="4" applyFont="1" applyFill="1" applyBorder="1" applyAlignment="1">
      <alignment horizontal="center" vertical="center" wrapText="1"/>
    </xf>
    <xf numFmtId="0" fontId="5" fillId="3" borderId="35" xfId="4" applyFont="1" applyFill="1" applyBorder="1" applyAlignment="1">
      <alignment horizontal="center" vertical="center" wrapText="1"/>
    </xf>
    <xf numFmtId="0" fontId="5" fillId="3" borderId="72" xfId="4" applyFont="1" applyFill="1" applyBorder="1" applyAlignment="1">
      <alignment horizontal="center" vertical="center" wrapText="1"/>
    </xf>
    <xf numFmtId="0" fontId="5" fillId="3" borderId="71" xfId="4" applyFont="1" applyFill="1" applyBorder="1" applyAlignment="1">
      <alignment horizontal="center" vertical="center" wrapText="1"/>
    </xf>
    <xf numFmtId="0" fontId="5" fillId="3" borderId="34" xfId="4" applyFont="1" applyFill="1" applyBorder="1" applyAlignment="1">
      <alignment horizontal="center" vertical="center" wrapText="1"/>
    </xf>
    <xf numFmtId="0" fontId="5" fillId="3" borderId="70" xfId="4" applyFont="1" applyFill="1" applyBorder="1" applyAlignment="1">
      <alignment horizontal="center" vertical="center" wrapText="1"/>
    </xf>
    <xf numFmtId="0" fontId="5" fillId="3" borderId="69" xfId="4" applyFont="1" applyFill="1" applyBorder="1" applyAlignment="1">
      <alignment horizontal="center" vertical="center" wrapText="1"/>
    </xf>
    <xf numFmtId="0" fontId="5" fillId="3" borderId="68" xfId="4" applyFont="1" applyFill="1" applyBorder="1" applyAlignment="1">
      <alignment horizontal="center" vertical="center" wrapText="1"/>
    </xf>
    <xf numFmtId="0" fontId="5" fillId="3" borderId="66" xfId="4" applyFont="1" applyFill="1" applyBorder="1" applyAlignment="1">
      <alignment horizontal="center" vertical="center" wrapText="1"/>
    </xf>
    <xf numFmtId="0" fontId="30" fillId="4" borderId="77" xfId="4" applyFont="1" applyFill="1" applyBorder="1" applyAlignment="1">
      <alignment horizontal="center" vertical="center" wrapText="1"/>
    </xf>
    <xf numFmtId="0" fontId="30" fillId="4" borderId="35" xfId="4" applyFont="1" applyFill="1" applyBorder="1" applyAlignment="1">
      <alignment horizontal="center" vertical="center" wrapText="1"/>
    </xf>
    <xf numFmtId="0" fontId="30" fillId="4" borderId="72" xfId="4" applyFont="1" applyFill="1" applyBorder="1" applyAlignment="1">
      <alignment horizontal="center" vertical="center" wrapText="1"/>
    </xf>
    <xf numFmtId="0" fontId="30" fillId="4" borderId="38" xfId="4" applyFont="1" applyFill="1" applyBorder="1" applyAlignment="1">
      <alignment horizontal="center" vertical="center" wrapText="1"/>
    </xf>
    <xf numFmtId="0" fontId="30" fillId="4" borderId="34" xfId="4" applyFont="1" applyFill="1" applyBorder="1" applyAlignment="1">
      <alignment horizontal="center" vertical="center" wrapText="1"/>
    </xf>
    <xf numFmtId="0" fontId="30" fillId="4" borderId="70" xfId="4" applyFont="1" applyFill="1" applyBorder="1" applyAlignment="1">
      <alignment horizontal="center" vertical="center" wrapText="1"/>
    </xf>
    <xf numFmtId="0" fontId="30" fillId="4" borderId="76" xfId="4" applyFont="1" applyFill="1" applyBorder="1" applyAlignment="1">
      <alignment horizontal="center" vertical="center" wrapText="1"/>
    </xf>
    <xf numFmtId="0" fontId="30" fillId="4" borderId="68" xfId="4" applyFont="1" applyFill="1" applyBorder="1" applyAlignment="1">
      <alignment horizontal="center" vertical="center" wrapText="1"/>
    </xf>
    <xf numFmtId="0" fontId="30" fillId="4" borderId="66" xfId="4" applyFont="1" applyFill="1" applyBorder="1" applyAlignment="1">
      <alignment horizontal="center" vertical="center" wrapText="1"/>
    </xf>
    <xf numFmtId="49" fontId="29" fillId="11" borderId="77" xfId="4" applyNumberFormat="1" applyFont="1" applyFill="1" applyBorder="1" applyAlignment="1">
      <alignment horizontal="center" vertical="center"/>
    </xf>
    <xf numFmtId="49" fontId="29" fillId="11" borderId="35" xfId="4" applyNumberFormat="1" applyFont="1" applyFill="1" applyBorder="1" applyAlignment="1">
      <alignment horizontal="center" vertical="center"/>
    </xf>
    <xf numFmtId="49" fontId="29" fillId="11" borderId="72" xfId="4" applyNumberFormat="1" applyFont="1" applyFill="1" applyBorder="1" applyAlignment="1">
      <alignment horizontal="center" vertical="center"/>
    </xf>
    <xf numFmtId="49" fontId="29" fillId="11" borderId="38" xfId="4" applyNumberFormat="1" applyFont="1" applyFill="1" applyBorder="1" applyAlignment="1">
      <alignment horizontal="center" vertical="center"/>
    </xf>
    <xf numFmtId="49" fontId="29" fillId="11" borderId="34" xfId="4" applyNumberFormat="1" applyFont="1" applyFill="1" applyBorder="1" applyAlignment="1">
      <alignment horizontal="center" vertical="center"/>
    </xf>
    <xf numFmtId="49" fontId="29" fillId="11" borderId="70" xfId="4" applyNumberFormat="1" applyFont="1" applyFill="1" applyBorder="1" applyAlignment="1">
      <alignment horizontal="center" vertical="center"/>
    </xf>
    <xf numFmtId="49" fontId="29" fillId="11" borderId="76" xfId="4" applyNumberFormat="1" applyFont="1" applyFill="1" applyBorder="1" applyAlignment="1">
      <alignment horizontal="center" vertical="center"/>
    </xf>
    <xf numFmtId="49" fontId="29" fillId="11" borderId="68" xfId="4" applyNumberFormat="1" applyFont="1" applyFill="1" applyBorder="1" applyAlignment="1">
      <alignment horizontal="center" vertical="center"/>
    </xf>
    <xf numFmtId="49" fontId="29" fillId="11" borderId="66" xfId="4" applyNumberFormat="1" applyFont="1" applyFill="1" applyBorder="1" applyAlignment="1">
      <alignment horizontal="center" vertical="center"/>
    </xf>
    <xf numFmtId="0" fontId="9" fillId="3" borderId="75" xfId="4" applyFont="1" applyFill="1" applyBorder="1" applyAlignment="1">
      <alignment horizontal="center"/>
    </xf>
    <xf numFmtId="0" fontId="9" fillId="3" borderId="74" xfId="4" applyFont="1" applyFill="1" applyBorder="1" applyAlignment="1">
      <alignment horizontal="center"/>
    </xf>
    <xf numFmtId="0" fontId="14" fillId="3" borderId="6" xfId="4" applyFont="1" applyFill="1" applyBorder="1" applyAlignment="1">
      <alignment horizontal="center"/>
    </xf>
    <xf numFmtId="0" fontId="14" fillId="3" borderId="4" xfId="4" applyFont="1" applyFill="1" applyBorder="1" applyAlignment="1">
      <alignment horizontal="center"/>
    </xf>
    <xf numFmtId="0" fontId="14" fillId="3" borderId="10" xfId="4" applyFont="1" applyFill="1" applyBorder="1" applyAlignment="1">
      <alignment horizontal="center"/>
    </xf>
    <xf numFmtId="0" fontId="9" fillId="3" borderId="46" xfId="4" applyFont="1" applyFill="1" applyBorder="1" applyAlignment="1">
      <alignment horizontal="left" vertical="top"/>
    </xf>
    <xf numFmtId="0" fontId="9" fillId="3" borderId="45" xfId="4" applyFont="1" applyFill="1" applyBorder="1" applyAlignment="1">
      <alignment horizontal="left" vertical="top"/>
    </xf>
    <xf numFmtId="0" fontId="9" fillId="3" borderId="0" xfId="4" applyFont="1" applyFill="1" applyAlignment="1">
      <alignment horizontal="left" vertical="top"/>
    </xf>
    <xf numFmtId="0" fontId="9" fillId="3" borderId="44" xfId="4" applyFont="1" applyFill="1" applyBorder="1" applyAlignment="1">
      <alignment horizontal="left" vertical="top"/>
    </xf>
    <xf numFmtId="0" fontId="9" fillId="3" borderId="11" xfId="4" applyFont="1" applyFill="1" applyBorder="1" applyAlignment="1">
      <alignment horizontal="left" vertical="top"/>
    </xf>
    <xf numFmtId="0" fontId="9" fillId="3" borderId="8" xfId="4" applyFont="1" applyFill="1" applyBorder="1" applyAlignment="1">
      <alignment horizontal="left" vertical="top"/>
    </xf>
    <xf numFmtId="0" fontId="10" fillId="3" borderId="73" xfId="4" applyFont="1" applyFill="1" applyBorder="1" applyAlignment="1">
      <alignment horizontal="center" vertical="top" wrapText="1"/>
    </xf>
    <xf numFmtId="0" fontId="10" fillId="3" borderId="35" xfId="4" applyFont="1" applyFill="1" applyBorder="1" applyAlignment="1">
      <alignment horizontal="center" vertical="top" wrapText="1"/>
    </xf>
    <xf numFmtId="0" fontId="10" fillId="3" borderId="36" xfId="4" applyFont="1" applyFill="1" applyBorder="1" applyAlignment="1">
      <alignment horizontal="center" vertical="top" wrapText="1"/>
    </xf>
    <xf numFmtId="0" fontId="10" fillId="3" borderId="72" xfId="4" applyFont="1" applyFill="1" applyBorder="1" applyAlignment="1">
      <alignment horizontal="center" vertical="top" wrapText="1"/>
    </xf>
    <xf numFmtId="0" fontId="10" fillId="3" borderId="71" xfId="4" applyFont="1" applyFill="1" applyBorder="1" applyAlignment="1">
      <alignment horizontal="center" vertical="top" wrapText="1"/>
    </xf>
    <xf numFmtId="0" fontId="10" fillId="3" borderId="34" xfId="4" applyFont="1" applyFill="1" applyBorder="1" applyAlignment="1">
      <alignment horizontal="center" vertical="top" wrapText="1"/>
    </xf>
    <xf numFmtId="0" fontId="10" fillId="3" borderId="37" xfId="4" applyFont="1" applyFill="1" applyBorder="1" applyAlignment="1">
      <alignment horizontal="center" vertical="top" wrapText="1"/>
    </xf>
    <xf numFmtId="0" fontId="10" fillId="3" borderId="70" xfId="4" applyFont="1" applyFill="1" applyBorder="1" applyAlignment="1">
      <alignment horizontal="center" vertical="top" wrapText="1"/>
    </xf>
    <xf numFmtId="0" fontId="10" fillId="3" borderId="69" xfId="4" applyFont="1" applyFill="1" applyBorder="1" applyAlignment="1">
      <alignment horizontal="center" vertical="top" wrapText="1"/>
    </xf>
    <xf numFmtId="0" fontId="10" fillId="3" borderId="68" xfId="4" applyFont="1" applyFill="1" applyBorder="1" applyAlignment="1">
      <alignment horizontal="center" vertical="top" wrapText="1"/>
    </xf>
    <xf numFmtId="0" fontId="10" fillId="3" borderId="67" xfId="4" applyFont="1" applyFill="1" applyBorder="1" applyAlignment="1">
      <alignment horizontal="center" vertical="top" wrapText="1"/>
    </xf>
    <xf numFmtId="0" fontId="10" fillId="3" borderId="66" xfId="4" applyFont="1" applyFill="1" applyBorder="1" applyAlignment="1">
      <alignment horizontal="center" vertical="top" wrapText="1"/>
    </xf>
    <xf numFmtId="3" fontId="2" fillId="0" borderId="9" xfId="4" applyNumberFormat="1" applyFont="1" applyBorder="1" applyAlignment="1" applyProtection="1">
      <alignment horizontal="left" vertical="top" wrapText="1"/>
      <protection locked="0"/>
    </xf>
    <xf numFmtId="3" fontId="2" fillId="0" borderId="43" xfId="4" applyNumberFormat="1" applyFont="1" applyBorder="1" applyAlignment="1" applyProtection="1">
      <alignment horizontal="left" vertical="top" wrapText="1"/>
      <protection locked="0"/>
    </xf>
    <xf numFmtId="0" fontId="9" fillId="0" borderId="11" xfId="4" applyFont="1" applyBorder="1" applyAlignment="1" applyProtection="1">
      <alignment horizontal="right" wrapText="1"/>
      <protection locked="0"/>
    </xf>
    <xf numFmtId="49" fontId="9" fillId="0" borderId="11" xfId="4" applyNumberFormat="1" applyFont="1" applyBorder="1" applyAlignment="1" applyProtection="1">
      <alignment horizontal="right" wrapText="1"/>
      <protection locked="0"/>
    </xf>
    <xf numFmtId="0" fontId="2" fillId="3" borderId="10" xfId="4" applyFont="1" applyFill="1" applyBorder="1" applyAlignment="1">
      <alignment horizontal="left" vertical="top" wrapText="1"/>
    </xf>
    <xf numFmtId="0" fontId="2" fillId="3" borderId="1" xfId="4" applyFont="1" applyFill="1" applyBorder="1" applyAlignment="1">
      <alignment horizontal="left" vertical="top" wrapText="1"/>
    </xf>
    <xf numFmtId="3" fontId="14" fillId="3" borderId="43" xfId="4" applyNumberFormat="1" applyFont="1" applyFill="1" applyBorder="1" applyAlignment="1">
      <alignment horizontal="right"/>
    </xf>
    <xf numFmtId="3" fontId="14" fillId="3" borderId="11" xfId="4" applyNumberFormat="1" applyFont="1" applyFill="1" applyBorder="1" applyAlignment="1">
      <alignment horizontal="right"/>
    </xf>
    <xf numFmtId="3" fontId="14" fillId="3" borderId="8" xfId="4" applyNumberFormat="1" applyFont="1" applyFill="1" applyBorder="1" applyAlignment="1">
      <alignment horizontal="right"/>
    </xf>
    <xf numFmtId="3" fontId="9" fillId="3" borderId="11" xfId="4" applyNumberFormat="1" applyFont="1" applyFill="1" applyBorder="1" applyAlignment="1">
      <alignment horizontal="center" vertical="center"/>
    </xf>
    <xf numFmtId="0" fontId="9" fillId="0" borderId="43" xfId="4" applyFont="1" applyBorder="1" applyAlignment="1">
      <alignment horizontal="center" vertical="center"/>
    </xf>
    <xf numFmtId="0" fontId="9" fillId="0" borderId="11" xfId="4" applyFont="1" applyBorder="1" applyAlignment="1">
      <alignment horizontal="center" vertical="center"/>
    </xf>
    <xf numFmtId="0" fontId="9" fillId="0" borderId="8" xfId="4" applyFont="1" applyBorder="1" applyAlignment="1">
      <alignment horizontal="center" vertical="center"/>
    </xf>
    <xf numFmtId="0" fontId="9" fillId="3" borderId="4" xfId="4" applyFont="1" applyFill="1" applyBorder="1" applyAlignment="1">
      <alignment horizontal="center" vertical="center"/>
    </xf>
    <xf numFmtId="0" fontId="9" fillId="3" borderId="10" xfId="4" applyFont="1" applyFill="1" applyBorder="1" applyAlignment="1">
      <alignment horizontal="center" vertical="center"/>
    </xf>
    <xf numFmtId="0" fontId="2" fillId="3" borderId="8" xfId="4" applyFont="1" applyFill="1" applyBorder="1" applyAlignment="1">
      <alignment horizontal="center" wrapText="1"/>
    </xf>
    <xf numFmtId="0" fontId="2" fillId="3" borderId="9" xfId="4" applyFont="1" applyFill="1" applyBorder="1" applyAlignment="1">
      <alignment horizontal="center" wrapText="1"/>
    </xf>
    <xf numFmtId="0" fontId="2" fillId="0" borderId="9" xfId="4" applyFont="1" applyBorder="1" applyAlignment="1">
      <alignment horizontal="left" wrapText="1"/>
    </xf>
    <xf numFmtId="0" fontId="2" fillId="0" borderId="1" xfId="4" applyFont="1" applyBorder="1" applyAlignment="1">
      <alignment horizontal="left" wrapText="1"/>
    </xf>
    <xf numFmtId="0" fontId="2" fillId="3" borderId="6" xfId="4" applyFont="1" applyFill="1" applyBorder="1" applyAlignment="1">
      <alignment horizontal="center" vertical="center" textRotation="90" wrapText="1"/>
    </xf>
    <xf numFmtId="0" fontId="2" fillId="3" borderId="1" xfId="4" applyFont="1" applyFill="1" applyBorder="1" applyAlignment="1">
      <alignment horizontal="center" vertical="center" textRotation="90" wrapText="1"/>
    </xf>
    <xf numFmtId="43" fontId="9" fillId="22" borderId="43" xfId="1" applyFont="1" applyFill="1" applyBorder="1" applyAlignment="1" applyProtection="1">
      <alignment horizontal="center"/>
      <protection locked="0"/>
    </xf>
    <xf numFmtId="43" fontId="9" fillId="22" borderId="11" xfId="1" applyFont="1" applyFill="1" applyBorder="1" applyAlignment="1" applyProtection="1">
      <alignment horizontal="center"/>
      <protection locked="0"/>
    </xf>
    <xf numFmtId="43" fontId="9" fillId="22" borderId="8" xfId="1" applyFont="1" applyFill="1" applyBorder="1" applyAlignment="1" applyProtection="1">
      <alignment horizontal="center"/>
      <protection locked="0"/>
    </xf>
    <xf numFmtId="0" fontId="55" fillId="3" borderId="0" xfId="4" applyFont="1" applyFill="1" applyAlignment="1">
      <alignment horizontal="center" vertical="center" wrapText="1"/>
    </xf>
    <xf numFmtId="0" fontId="56" fillId="13" borderId="0" xfId="4" applyFont="1" applyFill="1" applyAlignment="1">
      <alignment horizontal="center" vertical="top" wrapText="1"/>
    </xf>
    <xf numFmtId="0" fontId="67" fillId="3" borderId="0" xfId="4" applyFont="1" applyFill="1" applyAlignment="1">
      <alignment horizontal="left" vertical="center" wrapText="1"/>
    </xf>
    <xf numFmtId="0" fontId="57" fillId="3" borderId="0" xfId="4" applyFont="1" applyFill="1" applyAlignment="1">
      <alignment horizontal="left" vertical="center" wrapText="1"/>
    </xf>
    <xf numFmtId="167" fontId="48" fillId="3" borderId="0" xfId="1" applyNumberFormat="1" applyFont="1" applyFill="1" applyBorder="1" applyAlignment="1" applyProtection="1">
      <alignment horizontal="right" vertical="center"/>
    </xf>
    <xf numFmtId="0" fontId="56" fillId="3" borderId="0" xfId="4" applyFont="1" applyFill="1" applyAlignment="1">
      <alignment horizontal="left" vertical="center" wrapText="1"/>
    </xf>
    <xf numFmtId="0" fontId="58" fillId="3" borderId="0" xfId="4" applyFont="1" applyFill="1" applyAlignment="1">
      <alignment horizontal="left" vertical="center" wrapText="1"/>
    </xf>
    <xf numFmtId="0" fontId="36" fillId="3" borderId="47" xfId="4" applyFont="1" applyFill="1" applyBorder="1" applyAlignment="1">
      <alignment horizontal="center" vertical="center" wrapText="1"/>
    </xf>
    <xf numFmtId="0" fontId="36" fillId="3" borderId="46" xfId="4" applyFont="1" applyFill="1" applyBorder="1" applyAlignment="1">
      <alignment horizontal="center" vertical="center" wrapText="1"/>
    </xf>
    <xf numFmtId="0" fontId="36" fillId="3" borderId="5" xfId="4" applyFont="1" applyFill="1" applyBorder="1" applyAlignment="1">
      <alignment horizontal="center" vertical="center" wrapText="1"/>
    </xf>
    <xf numFmtId="0" fontId="36" fillId="3" borderId="0" xfId="4" applyFont="1" applyFill="1" applyAlignment="1">
      <alignment horizontal="center" vertical="center" wrapText="1"/>
    </xf>
    <xf numFmtId="0" fontId="56" fillId="3" borderId="0" xfId="4" applyFont="1" applyFill="1" applyAlignment="1">
      <alignment horizontal="left" vertical="center"/>
    </xf>
    <xf numFmtId="3" fontId="51" fillId="3" borderId="0" xfId="4" applyNumberFormat="1" applyFont="1" applyFill="1" applyAlignment="1" applyProtection="1">
      <alignment horizontal="right"/>
      <protection locked="0"/>
    </xf>
    <xf numFmtId="167" fontId="52" fillId="3" borderId="0" xfId="1" applyNumberFormat="1" applyFont="1" applyFill="1" applyBorder="1" applyAlignment="1" applyProtection="1">
      <alignment horizontal="right" vertical="center"/>
    </xf>
    <xf numFmtId="3" fontId="48" fillId="3" borderId="0" xfId="4" applyNumberFormat="1" applyFont="1" applyFill="1" applyAlignment="1">
      <alignment horizontal="right" vertical="center"/>
    </xf>
    <xf numFmtId="0" fontId="2" fillId="22" borderId="0" xfId="4" applyFont="1" applyFill="1" applyAlignment="1">
      <alignment horizontal="left" vertical="top" wrapText="1"/>
    </xf>
    <xf numFmtId="0" fontId="2" fillId="22" borderId="44" xfId="4" applyFont="1" applyFill="1" applyBorder="1" applyAlignment="1">
      <alignment horizontal="left" vertical="top" wrapText="1"/>
    </xf>
    <xf numFmtId="0" fontId="2" fillId="22" borderId="11" xfId="4" applyFont="1" applyFill="1" applyBorder="1" applyAlignment="1">
      <alignment horizontal="left" vertical="top" wrapText="1"/>
    </xf>
    <xf numFmtId="0" fontId="2" fillId="22" borderId="8" xfId="4" applyFont="1" applyFill="1" applyBorder="1" applyAlignment="1">
      <alignment horizontal="left" vertical="top" wrapText="1"/>
    </xf>
    <xf numFmtId="169" fontId="12" fillId="3" borderId="6" xfId="1" applyNumberFormat="1" applyFont="1" applyFill="1" applyBorder="1" applyAlignment="1" applyProtection="1">
      <alignment horizontal="center"/>
      <protection locked="0"/>
    </xf>
    <xf numFmtId="169" fontId="12" fillId="3" borderId="4" xfId="1" applyNumberFormat="1" applyFont="1" applyFill="1" applyBorder="1" applyAlignment="1" applyProtection="1">
      <alignment horizontal="center"/>
      <protection locked="0"/>
    </xf>
    <xf numFmtId="169" fontId="12" fillId="3" borderId="10" xfId="1" applyNumberFormat="1" applyFont="1" applyFill="1" applyBorder="1" applyAlignment="1" applyProtection="1">
      <alignment horizontal="center"/>
      <protection locked="0"/>
    </xf>
    <xf numFmtId="3" fontId="48" fillId="3" borderId="0" xfId="4" applyNumberFormat="1" applyFont="1" applyFill="1" applyAlignment="1">
      <alignment horizontal="right" vertical="center" wrapText="1"/>
    </xf>
    <xf numFmtId="0" fontId="64" fillId="3" borderId="0" xfId="4" applyFont="1" applyFill="1" applyAlignment="1">
      <alignment vertical="center" wrapText="1"/>
    </xf>
    <xf numFmtId="0" fontId="65" fillId="3" borderId="0" xfId="4" applyFont="1" applyFill="1" applyAlignment="1">
      <alignment vertical="center" wrapText="1"/>
    </xf>
    <xf numFmtId="3" fontId="52" fillId="3" borderId="0" xfId="4" applyNumberFormat="1" applyFont="1" applyFill="1" applyAlignment="1" applyProtection="1">
      <alignment horizontal="right" vertical="center"/>
      <protection locked="0"/>
    </xf>
    <xf numFmtId="3" fontId="52" fillId="3" borderId="0" xfId="4" applyNumberFormat="1" applyFont="1" applyFill="1" applyAlignment="1">
      <alignment horizontal="right" vertical="center"/>
    </xf>
    <xf numFmtId="0" fontId="13" fillId="22" borderId="6" xfId="4" applyFont="1" applyFill="1" applyBorder="1" applyAlignment="1">
      <alignment horizontal="left" vertical="center" wrapText="1"/>
    </xf>
    <xf numFmtId="0" fontId="13" fillId="22" borderId="4" xfId="4" applyFont="1" applyFill="1" applyBorder="1" applyAlignment="1">
      <alignment horizontal="left" vertical="center" wrapText="1"/>
    </xf>
    <xf numFmtId="0" fontId="13" fillId="22" borderId="10" xfId="4" applyFont="1" applyFill="1" applyBorder="1" applyAlignment="1">
      <alignment horizontal="left" vertical="center" wrapText="1"/>
    </xf>
    <xf numFmtId="169" fontId="44" fillId="3" borderId="6" xfId="1" applyNumberFormat="1" applyFont="1" applyFill="1" applyBorder="1" applyAlignment="1">
      <alignment horizontal="center" vertical="center"/>
    </xf>
    <xf numFmtId="169" fontId="44" fillId="3" borderId="4" xfId="1" applyNumberFormat="1" applyFont="1" applyFill="1" applyBorder="1" applyAlignment="1">
      <alignment horizontal="center" vertical="center"/>
    </xf>
    <xf numFmtId="169" fontId="44" fillId="3" borderId="10" xfId="1" applyNumberFormat="1" applyFont="1" applyFill="1" applyBorder="1" applyAlignment="1">
      <alignment horizontal="center" vertical="center"/>
    </xf>
    <xf numFmtId="0" fontId="13" fillId="22" borderId="6" xfId="4" applyFont="1" applyFill="1" applyBorder="1" applyAlignment="1">
      <alignment horizontal="left" vertical="center"/>
    </xf>
    <xf numFmtId="0" fontId="13" fillId="22" borderId="4" xfId="4" applyFont="1" applyFill="1" applyBorder="1" applyAlignment="1">
      <alignment horizontal="left" vertical="center"/>
    </xf>
    <xf numFmtId="0" fontId="13" fillId="22" borderId="10" xfId="4" applyFont="1" applyFill="1" applyBorder="1" applyAlignment="1">
      <alignment horizontal="left" vertical="center"/>
    </xf>
    <xf numFmtId="169" fontId="44" fillId="3" borderId="6" xfId="1" applyNumberFormat="1" applyFont="1" applyFill="1" applyBorder="1" applyAlignment="1" applyProtection="1">
      <alignment horizontal="center" vertical="center"/>
      <protection locked="0"/>
    </xf>
    <xf numFmtId="169" fontId="44" fillId="3" borderId="4" xfId="1" applyNumberFormat="1" applyFont="1" applyFill="1" applyBorder="1" applyAlignment="1" applyProtection="1">
      <alignment horizontal="center" vertical="center"/>
      <protection locked="0"/>
    </xf>
    <xf numFmtId="169" fontId="44" fillId="3" borderId="10" xfId="1" applyNumberFormat="1" applyFont="1" applyFill="1" applyBorder="1" applyAlignment="1" applyProtection="1">
      <alignment horizontal="center" vertical="center"/>
      <protection locked="0"/>
    </xf>
    <xf numFmtId="0" fontId="13" fillId="22" borderId="6" xfId="4" applyFont="1" applyFill="1" applyBorder="1" applyAlignment="1">
      <alignment horizontal="left" wrapText="1"/>
    </xf>
    <xf numFmtId="0" fontId="13" fillId="22" borderId="4" xfId="4" applyFont="1" applyFill="1" applyBorder="1" applyAlignment="1">
      <alignment horizontal="left" wrapText="1"/>
    </xf>
    <xf numFmtId="0" fontId="13" fillId="22" borderId="10" xfId="4" applyFont="1" applyFill="1" applyBorder="1" applyAlignment="1">
      <alignment horizontal="left" wrapText="1"/>
    </xf>
    <xf numFmtId="0" fontId="12" fillId="3" borderId="43" xfId="4" applyFont="1" applyFill="1" applyBorder="1" applyAlignment="1">
      <alignment vertical="center" wrapText="1"/>
    </xf>
    <xf numFmtId="0" fontId="12" fillId="3" borderId="11" xfId="4" applyFont="1" applyFill="1" applyBorder="1" applyAlignment="1">
      <alignment vertical="center" wrapText="1"/>
    </xf>
    <xf numFmtId="0" fontId="12" fillId="3" borderId="8" xfId="4" applyFont="1" applyFill="1" applyBorder="1" applyAlignment="1">
      <alignment vertical="center" wrapText="1"/>
    </xf>
    <xf numFmtId="169" fontId="50" fillId="3" borderId="43" xfId="1" applyNumberFormat="1" applyFont="1" applyFill="1" applyBorder="1" applyAlignment="1">
      <alignment horizontal="center"/>
    </xf>
    <xf numFmtId="169" fontId="50" fillId="3" borderId="11" xfId="1" applyNumberFormat="1" applyFont="1" applyFill="1" applyBorder="1" applyAlignment="1">
      <alignment horizontal="center"/>
    </xf>
    <xf numFmtId="169" fontId="50" fillId="3" borderId="8" xfId="1" applyNumberFormat="1" applyFont="1" applyFill="1" applyBorder="1" applyAlignment="1">
      <alignment horizontal="center"/>
    </xf>
    <xf numFmtId="0" fontId="12" fillId="3" borderId="43" xfId="4" applyFont="1" applyFill="1" applyBorder="1" applyAlignment="1">
      <alignment horizontal="left" vertical="center" wrapText="1"/>
    </xf>
    <xf numFmtId="0" fontId="12" fillId="3" borderId="11" xfId="4" applyFont="1" applyFill="1" applyBorder="1" applyAlignment="1">
      <alignment horizontal="left" vertical="center" wrapText="1"/>
    </xf>
    <xf numFmtId="0" fontId="12" fillId="3" borderId="8" xfId="4" applyFont="1" applyFill="1" applyBorder="1" applyAlignment="1">
      <alignment horizontal="left" vertical="center" wrapText="1"/>
    </xf>
    <xf numFmtId="0" fontId="12" fillId="22" borderId="5" xfId="4" applyFont="1" applyFill="1" applyBorder="1" applyAlignment="1">
      <alignment vertical="center" wrapText="1"/>
    </xf>
    <xf numFmtId="0" fontId="12" fillId="22" borderId="0" xfId="4" applyFont="1" applyFill="1" applyAlignment="1">
      <alignment vertical="center" wrapText="1"/>
    </xf>
    <xf numFmtId="0" fontId="12" fillId="22" borderId="44" xfId="4" applyFont="1" applyFill="1" applyBorder="1" applyAlignment="1">
      <alignment vertical="center" wrapText="1"/>
    </xf>
    <xf numFmtId="169" fontId="50" fillId="22" borderId="5" xfId="1" applyNumberFormat="1" applyFont="1" applyFill="1" applyBorder="1" applyAlignment="1">
      <alignment horizontal="center"/>
    </xf>
    <xf numFmtId="169" fontId="50" fillId="22" borderId="0" xfId="1" applyNumberFormat="1" applyFont="1" applyFill="1" applyBorder="1" applyAlignment="1">
      <alignment horizontal="center"/>
    </xf>
    <xf numFmtId="169" fontId="50" fillId="22" borderId="44" xfId="1" applyNumberFormat="1" applyFont="1" applyFill="1" applyBorder="1" applyAlignment="1">
      <alignment horizontal="center"/>
    </xf>
    <xf numFmtId="0" fontId="12" fillId="22" borderId="5" xfId="4" applyFont="1" applyFill="1" applyBorder="1" applyAlignment="1">
      <alignment horizontal="left" vertical="center" wrapText="1"/>
    </xf>
    <xf numFmtId="0" fontId="12" fillId="22" borderId="0" xfId="4" applyFont="1" applyFill="1" applyAlignment="1">
      <alignment horizontal="left" vertical="center" wrapText="1"/>
    </xf>
    <xf numFmtId="0" fontId="12" fillId="22" borderId="44" xfId="4" applyFont="1" applyFill="1" applyBorder="1" applyAlignment="1">
      <alignment horizontal="left" vertical="center" wrapText="1"/>
    </xf>
    <xf numFmtId="3" fontId="52" fillId="3" borderId="0" xfId="4" applyNumberFormat="1" applyFont="1" applyFill="1" applyAlignment="1">
      <alignment horizontal="right" vertical="center" wrapText="1"/>
    </xf>
    <xf numFmtId="0" fontId="12" fillId="3" borderId="5" xfId="4" applyFont="1" applyFill="1" applyBorder="1" applyAlignment="1">
      <alignment vertical="center" wrapText="1"/>
    </xf>
    <xf numFmtId="0" fontId="12" fillId="3" borderId="0" xfId="4" applyFont="1" applyFill="1" applyAlignment="1">
      <alignment vertical="center" wrapText="1"/>
    </xf>
    <xf numFmtId="0" fontId="12" fillId="3" borderId="44" xfId="4" applyFont="1" applyFill="1" applyBorder="1" applyAlignment="1">
      <alignment vertical="center" wrapText="1"/>
    </xf>
    <xf numFmtId="169" fontId="50" fillId="3" borderId="5" xfId="1" applyNumberFormat="1" applyFont="1" applyFill="1" applyBorder="1" applyAlignment="1">
      <alignment horizontal="center"/>
    </xf>
    <xf numFmtId="169" fontId="50" fillId="3" borderId="0" xfId="1" applyNumberFormat="1" applyFont="1" applyFill="1" applyBorder="1" applyAlignment="1">
      <alignment horizontal="center"/>
    </xf>
    <xf numFmtId="169" fontId="50" fillId="3" borderId="44" xfId="1" applyNumberFormat="1" applyFont="1" applyFill="1" applyBorder="1" applyAlignment="1">
      <alignment horizontal="center"/>
    </xf>
    <xf numFmtId="0" fontId="9" fillId="3" borderId="63" xfId="4" applyFont="1" applyFill="1" applyBorder="1" applyAlignment="1">
      <alignment horizontal="center" vertical="center" textRotation="90"/>
    </xf>
    <xf numFmtId="0" fontId="9" fillId="3" borderId="7" xfId="4" applyFont="1" applyFill="1" applyBorder="1" applyAlignment="1">
      <alignment horizontal="center" vertical="center" textRotation="90"/>
    </xf>
    <xf numFmtId="0" fontId="9" fillId="3" borderId="9" xfId="4" applyFont="1" applyFill="1" applyBorder="1" applyAlignment="1">
      <alignment horizontal="center" vertical="center" textRotation="90"/>
    </xf>
    <xf numFmtId="0" fontId="12" fillId="3" borderId="47" xfId="4" applyFont="1" applyFill="1" applyBorder="1" applyAlignment="1">
      <alignment vertical="center" wrapText="1"/>
    </xf>
    <xf numFmtId="0" fontId="12" fillId="3" borderId="46" xfId="4" applyFont="1" applyFill="1" applyBorder="1" applyAlignment="1">
      <alignment vertical="center" wrapText="1"/>
    </xf>
    <xf numFmtId="0" fontId="12" fillId="3" borderId="45" xfId="4" applyFont="1" applyFill="1" applyBorder="1" applyAlignment="1">
      <alignment vertical="center" wrapText="1"/>
    </xf>
    <xf numFmtId="0" fontId="13" fillId="3" borderId="44" xfId="4" applyFont="1" applyFill="1" applyBorder="1" applyAlignment="1">
      <alignment horizontal="left" vertical="center" wrapText="1"/>
    </xf>
    <xf numFmtId="169" fontId="44" fillId="3" borderId="0" xfId="1" applyNumberFormat="1" applyFont="1" applyFill="1" applyBorder="1" applyAlignment="1">
      <alignment horizontal="center"/>
    </xf>
    <xf numFmtId="169" fontId="44" fillId="3" borderId="44" xfId="1" applyNumberFormat="1" applyFont="1" applyFill="1" applyBorder="1" applyAlignment="1">
      <alignment horizontal="center"/>
    </xf>
    <xf numFmtId="0" fontId="12" fillId="22" borderId="43" xfId="4" applyFont="1" applyFill="1" applyBorder="1" applyAlignment="1">
      <alignment vertical="center" wrapText="1"/>
    </xf>
    <xf numFmtId="0" fontId="12" fillId="22" borderId="11" xfId="4" applyFont="1" applyFill="1" applyBorder="1" applyAlignment="1">
      <alignment vertical="center" wrapText="1"/>
    </xf>
    <xf numFmtId="0" fontId="12" fillId="22" borderId="8" xfId="4" applyFont="1" applyFill="1" applyBorder="1" applyAlignment="1">
      <alignment vertical="center" wrapText="1"/>
    </xf>
    <xf numFmtId="169" fontId="50" fillId="22" borderId="43" xfId="1" applyNumberFormat="1" applyFont="1" applyFill="1" applyBorder="1" applyAlignment="1">
      <alignment horizontal="center"/>
    </xf>
    <xf numFmtId="169" fontId="50" fillId="22" borderId="11" xfId="1" applyNumberFormat="1" applyFont="1" applyFill="1" applyBorder="1" applyAlignment="1">
      <alignment horizontal="center"/>
    </xf>
    <xf numFmtId="169" fontId="50" fillId="22" borderId="8" xfId="1" applyNumberFormat="1" applyFont="1" applyFill="1" applyBorder="1" applyAlignment="1">
      <alignment horizontal="center"/>
    </xf>
    <xf numFmtId="0" fontId="63" fillId="3" borderId="0" xfId="4" applyFont="1" applyFill="1" applyAlignment="1">
      <alignment horizontal="left" vertical="center" wrapText="1"/>
    </xf>
    <xf numFmtId="169" fontId="50" fillId="22" borderId="47" xfId="1" applyNumberFormat="1" applyFont="1" applyFill="1" applyBorder="1" applyAlignment="1">
      <alignment horizontal="center"/>
    </xf>
    <xf numFmtId="169" fontId="50" fillId="22" borderId="46" xfId="1" applyNumberFormat="1" applyFont="1" applyFill="1" applyBorder="1" applyAlignment="1">
      <alignment horizontal="center"/>
    </xf>
    <xf numFmtId="169" fontId="50" fillId="22" borderId="45" xfId="1" applyNumberFormat="1" applyFont="1" applyFill="1" applyBorder="1" applyAlignment="1">
      <alignment horizontal="center"/>
    </xf>
    <xf numFmtId="0" fontId="2" fillId="22" borderId="6" xfId="4" applyFont="1" applyFill="1" applyBorder="1" applyAlignment="1">
      <alignment horizontal="left" vertical="center"/>
    </xf>
    <xf numFmtId="0" fontId="2" fillId="22" borderId="4" xfId="4" applyFont="1" applyFill="1" applyBorder="1" applyAlignment="1">
      <alignment horizontal="left" vertical="center"/>
    </xf>
    <xf numFmtId="0" fontId="2" fillId="22" borderId="10" xfId="4" applyFont="1" applyFill="1" applyBorder="1" applyAlignment="1">
      <alignment horizontal="left" vertical="center"/>
    </xf>
    <xf numFmtId="169" fontId="50" fillId="22" borderId="6" xfId="1" applyNumberFormat="1" applyFont="1" applyFill="1" applyBorder="1" applyAlignment="1">
      <alignment horizontal="center"/>
    </xf>
    <xf numFmtId="169" fontId="50" fillId="22" borderId="4" xfId="1" applyNumberFormat="1" applyFont="1" applyFill="1" applyBorder="1" applyAlignment="1">
      <alignment horizontal="center"/>
    </xf>
    <xf numFmtId="169" fontId="50" fillId="22" borderId="10" xfId="1" applyNumberFormat="1" applyFont="1" applyFill="1" applyBorder="1" applyAlignment="1">
      <alignment horizontal="center"/>
    </xf>
    <xf numFmtId="0" fontId="63" fillId="3" borderId="0" xfId="4" applyFont="1" applyFill="1" applyAlignment="1">
      <alignment horizontal="center" vertical="center" textRotation="90" wrapText="1"/>
    </xf>
    <xf numFmtId="0" fontId="2" fillId="3" borderId="47" xfId="4" applyFont="1" applyFill="1" applyBorder="1" applyAlignment="1">
      <alignment horizontal="left" vertical="center"/>
    </xf>
    <xf numFmtId="0" fontId="2" fillId="3" borderId="46" xfId="4" applyFont="1" applyFill="1" applyBorder="1" applyAlignment="1">
      <alignment horizontal="left" vertical="center"/>
    </xf>
    <xf numFmtId="0" fontId="2" fillId="3" borderId="45" xfId="4" applyFont="1" applyFill="1" applyBorder="1" applyAlignment="1">
      <alignment horizontal="left" vertical="center"/>
    </xf>
    <xf numFmtId="169" fontId="50" fillId="3" borderId="6" xfId="1" applyNumberFormat="1" applyFont="1" applyFill="1" applyBorder="1" applyAlignment="1">
      <alignment horizontal="center"/>
    </xf>
    <xf numFmtId="169" fontId="50" fillId="3" borderId="4" xfId="1" applyNumberFormat="1" applyFont="1" applyFill="1" applyBorder="1" applyAlignment="1">
      <alignment horizontal="center"/>
    </xf>
    <xf numFmtId="169" fontId="50" fillId="3" borderId="10" xfId="1" applyNumberFormat="1" applyFont="1" applyFill="1" applyBorder="1" applyAlignment="1">
      <alignment horizontal="center"/>
    </xf>
    <xf numFmtId="0" fontId="7" fillId="3" borderId="6" xfId="4" applyFont="1" applyFill="1" applyBorder="1" applyAlignment="1">
      <alignment horizontal="left" vertical="center" wrapText="1"/>
    </xf>
    <xf numFmtId="0" fontId="7" fillId="3" borderId="4" xfId="4" applyFont="1" applyFill="1" applyBorder="1" applyAlignment="1">
      <alignment horizontal="left" vertical="center" wrapText="1"/>
    </xf>
    <xf numFmtId="0" fontId="7" fillId="3" borderId="10" xfId="4" applyFont="1" applyFill="1" applyBorder="1" applyAlignment="1">
      <alignment horizontal="left" vertical="center" wrapText="1"/>
    </xf>
    <xf numFmtId="169" fontId="44" fillId="3" borderId="6" xfId="1" applyNumberFormat="1" applyFont="1" applyFill="1" applyBorder="1" applyAlignment="1">
      <alignment horizontal="center"/>
    </xf>
    <xf numFmtId="169" fontId="44" fillId="3" borderId="4" xfId="1" applyNumberFormat="1" applyFont="1" applyFill="1" applyBorder="1" applyAlignment="1">
      <alignment horizontal="center"/>
    </xf>
    <xf numFmtId="169" fontId="44" fillId="3" borderId="10" xfId="1" applyNumberFormat="1" applyFont="1" applyFill="1" applyBorder="1" applyAlignment="1">
      <alignment horizontal="center"/>
    </xf>
    <xf numFmtId="0" fontId="13" fillId="22" borderId="47" xfId="4" applyFont="1" applyFill="1" applyBorder="1" applyAlignment="1">
      <alignment horizontal="left" vertical="center" wrapText="1"/>
    </xf>
    <xf numFmtId="0" fontId="13" fillId="22" borderId="46" xfId="4" applyFont="1" applyFill="1" applyBorder="1" applyAlignment="1">
      <alignment horizontal="left" vertical="center" wrapText="1"/>
    </xf>
    <xf numFmtId="0" fontId="13" fillId="22" borderId="45" xfId="4" applyFont="1" applyFill="1" applyBorder="1" applyAlignment="1">
      <alignment horizontal="left" vertical="center" wrapText="1"/>
    </xf>
    <xf numFmtId="169" fontId="44" fillId="22" borderId="46" xfId="1" applyNumberFormat="1" applyFont="1" applyFill="1" applyBorder="1" applyAlignment="1">
      <alignment horizontal="center"/>
    </xf>
    <xf numFmtId="169" fontId="44" fillId="22" borderId="45" xfId="1" applyNumberFormat="1" applyFont="1" applyFill="1" applyBorder="1" applyAlignment="1">
      <alignment horizontal="center"/>
    </xf>
    <xf numFmtId="0" fontId="12" fillId="22" borderId="47" xfId="4" applyFont="1" applyFill="1" applyBorder="1" applyAlignment="1">
      <alignment vertical="center" wrapText="1"/>
    </xf>
    <xf numFmtId="0" fontId="12" fillId="22" borderId="46" xfId="4" applyFont="1" applyFill="1" applyBorder="1" applyAlignment="1">
      <alignment vertical="center" wrapText="1"/>
    </xf>
    <xf numFmtId="0" fontId="12" fillId="22" borderId="45" xfId="4" applyFont="1" applyFill="1" applyBorder="1" applyAlignment="1">
      <alignment vertical="center" wrapText="1"/>
    </xf>
    <xf numFmtId="0" fontId="51" fillId="3" borderId="0" xfId="4" applyFont="1" applyFill="1" applyAlignment="1">
      <alignment horizontal="center" vertical="center" textRotation="90"/>
    </xf>
    <xf numFmtId="0" fontId="13" fillId="3" borderId="43" xfId="4" applyFont="1" applyFill="1" applyBorder="1" applyAlignment="1">
      <alignment horizontal="left" vertical="center" wrapText="1"/>
    </xf>
    <xf numFmtId="169" fontId="44" fillId="3" borderId="43" xfId="1" applyNumberFormat="1" applyFont="1" applyFill="1" applyBorder="1" applyAlignment="1">
      <alignment horizontal="center"/>
    </xf>
    <xf numFmtId="169" fontId="44" fillId="3" borderId="11" xfId="1" applyNumberFormat="1" applyFont="1" applyFill="1" applyBorder="1" applyAlignment="1">
      <alignment horizontal="center"/>
    </xf>
    <xf numFmtId="169" fontId="44" fillId="3" borderId="8" xfId="1" applyNumberFormat="1" applyFont="1" applyFill="1" applyBorder="1" applyAlignment="1">
      <alignment horizontal="center"/>
    </xf>
    <xf numFmtId="0" fontId="13" fillId="22" borderId="5" xfId="4" applyFont="1" applyFill="1" applyBorder="1" applyAlignment="1">
      <alignment vertical="center" wrapText="1"/>
    </xf>
    <xf numFmtId="0" fontId="13" fillId="22" borderId="0" xfId="4" applyFont="1" applyFill="1" applyAlignment="1">
      <alignment vertical="center" wrapText="1"/>
    </xf>
    <xf numFmtId="0" fontId="13" fillId="22" borderId="44" xfId="4" applyFont="1" applyFill="1" applyBorder="1" applyAlignment="1">
      <alignment vertical="center" wrapText="1"/>
    </xf>
    <xf numFmtId="169" fontId="44" fillId="22" borderId="5" xfId="1" applyNumberFormat="1" applyFont="1" applyFill="1" applyBorder="1" applyAlignment="1">
      <alignment horizontal="center"/>
    </xf>
    <xf numFmtId="169" fontId="44" fillId="22" borderId="0" xfId="1" applyNumberFormat="1" applyFont="1" applyFill="1" applyBorder="1" applyAlignment="1">
      <alignment horizontal="center"/>
    </xf>
    <xf numFmtId="169" fontId="44" fillId="22" borderId="44" xfId="1" applyNumberFormat="1" applyFont="1" applyFill="1" applyBorder="1" applyAlignment="1">
      <alignment horizontal="center"/>
    </xf>
    <xf numFmtId="0" fontId="2" fillId="3" borderId="63" xfId="4" applyFont="1" applyFill="1" applyBorder="1" applyAlignment="1">
      <alignment horizontal="center" textRotation="90"/>
    </xf>
    <xf numFmtId="0" fontId="2" fillId="3" borderId="7" xfId="4" applyFont="1" applyFill="1" applyBorder="1" applyAlignment="1">
      <alignment horizontal="center" textRotation="90"/>
    </xf>
    <xf numFmtId="0" fontId="53" fillId="22" borderId="47" xfId="4" applyFont="1" applyFill="1" applyBorder="1" applyAlignment="1">
      <alignment horizontal="left" vertical="center" wrapText="1"/>
    </xf>
    <xf numFmtId="0" fontId="53" fillId="22" borderId="46" xfId="4" applyFont="1" applyFill="1" applyBorder="1" applyAlignment="1">
      <alignment horizontal="left" vertical="center" wrapText="1"/>
    </xf>
    <xf numFmtId="0" fontId="53" fillId="22" borderId="45" xfId="4" applyFont="1" applyFill="1" applyBorder="1" applyAlignment="1">
      <alignment horizontal="left" vertical="center" wrapText="1"/>
    </xf>
    <xf numFmtId="0" fontId="12" fillId="22" borderId="5" xfId="4" applyFont="1" applyFill="1" applyBorder="1" applyAlignment="1">
      <alignment horizontal="left" vertical="center"/>
    </xf>
    <xf numFmtId="0" fontId="12" fillId="22" borderId="0" xfId="4" applyFont="1" applyFill="1" applyAlignment="1">
      <alignment horizontal="left" vertical="center"/>
    </xf>
    <xf numFmtId="0" fontId="12" fillId="22" borderId="44" xfId="4" applyFont="1" applyFill="1" applyBorder="1" applyAlignment="1">
      <alignment horizontal="left" vertical="center"/>
    </xf>
    <xf numFmtId="0" fontId="60" fillId="3" borderId="0" xfId="4" applyFont="1" applyFill="1" applyAlignment="1">
      <alignment horizontal="center" vertical="center" textRotation="90" wrapText="1"/>
    </xf>
    <xf numFmtId="0" fontId="51" fillId="3" borderId="0" xfId="4" applyFont="1" applyFill="1" applyAlignment="1">
      <alignment horizontal="center" vertical="center" textRotation="90" wrapText="1"/>
    </xf>
    <xf numFmtId="0" fontId="13" fillId="3" borderId="5" xfId="4" applyFont="1" applyFill="1" applyBorder="1" applyAlignment="1">
      <alignment vertical="center" wrapText="1"/>
    </xf>
    <xf numFmtId="0" fontId="13" fillId="3" borderId="0" xfId="4" applyFont="1" applyFill="1" applyAlignment="1">
      <alignment vertical="center" wrapText="1"/>
    </xf>
    <xf numFmtId="0" fontId="13" fillId="3" borderId="44" xfId="4" applyFont="1" applyFill="1" applyBorder="1" applyAlignment="1">
      <alignment vertical="center" wrapText="1"/>
    </xf>
    <xf numFmtId="169" fontId="44" fillId="3" borderId="5" xfId="1" applyNumberFormat="1" applyFont="1" applyFill="1" applyBorder="1" applyAlignment="1">
      <alignment horizontal="center"/>
    </xf>
    <xf numFmtId="0" fontId="12" fillId="3" borderId="5" xfId="4" applyFont="1" applyFill="1" applyBorder="1" applyAlignment="1">
      <alignment horizontal="left" vertical="center"/>
    </xf>
    <xf numFmtId="0" fontId="12" fillId="3" borderId="0" xfId="4" applyFont="1" applyFill="1" applyAlignment="1">
      <alignment horizontal="left" vertical="center"/>
    </xf>
    <xf numFmtId="0" fontId="12" fillId="3" borderId="44" xfId="4" applyFont="1" applyFill="1" applyBorder="1" applyAlignment="1">
      <alignment horizontal="left" vertical="center"/>
    </xf>
    <xf numFmtId="0" fontId="10" fillId="22" borderId="1" xfId="4" applyFont="1" applyFill="1" applyBorder="1" applyAlignment="1">
      <alignment horizontal="left" vertical="top" wrapText="1"/>
    </xf>
    <xf numFmtId="0" fontId="10" fillId="22" borderId="63" xfId="4" applyFont="1" applyFill="1" applyBorder="1" applyAlignment="1">
      <alignment horizontal="left" vertical="top" wrapText="1"/>
    </xf>
    <xf numFmtId="169" fontId="50" fillId="22" borderId="47" xfId="1" applyNumberFormat="1" applyFont="1" applyFill="1" applyBorder="1" applyAlignment="1">
      <alignment horizontal="center" wrapText="1"/>
    </xf>
    <xf numFmtId="169" fontId="50" fillId="22" borderId="46" xfId="1" applyNumberFormat="1" applyFont="1" applyFill="1" applyBorder="1" applyAlignment="1">
      <alignment horizontal="center" wrapText="1"/>
    </xf>
    <xf numFmtId="169" fontId="50" fillId="22" borderId="45" xfId="1" applyNumberFormat="1" applyFont="1" applyFill="1" applyBorder="1" applyAlignment="1">
      <alignment horizontal="center" wrapText="1"/>
    </xf>
    <xf numFmtId="0" fontId="12" fillId="3" borderId="63" xfId="4" applyFont="1" applyFill="1" applyBorder="1" applyAlignment="1">
      <alignment horizontal="center" vertical="center" textRotation="90"/>
    </xf>
    <xf numFmtId="0" fontId="12" fillId="3" borderId="7" xfId="4" applyFont="1" applyFill="1" applyBorder="1" applyAlignment="1">
      <alignment horizontal="center" vertical="center" textRotation="90"/>
    </xf>
    <xf numFmtId="0" fontId="12" fillId="3" borderId="5" xfId="4" applyFont="1" applyFill="1" applyBorder="1" applyAlignment="1">
      <alignment horizontal="center" vertical="center" textRotation="90"/>
    </xf>
    <xf numFmtId="0" fontId="12" fillId="3" borderId="43" xfId="4" applyFont="1" applyFill="1" applyBorder="1" applyAlignment="1">
      <alignment horizontal="center" vertical="center" textRotation="90"/>
    </xf>
    <xf numFmtId="0" fontId="2" fillId="3" borderId="47" xfId="4" applyFont="1" applyFill="1" applyBorder="1" applyAlignment="1">
      <alignment horizontal="center" vertical="center" textRotation="90" wrapText="1"/>
    </xf>
    <xf numFmtId="0" fontId="2" fillId="3" borderId="5" xfId="4" applyFont="1" applyFill="1" applyBorder="1" applyAlignment="1">
      <alignment horizontal="center" vertical="center" textRotation="90" wrapText="1"/>
    </xf>
    <xf numFmtId="0" fontId="2" fillId="3" borderId="43" xfId="4" applyFont="1" applyFill="1" applyBorder="1" applyAlignment="1">
      <alignment horizontal="center" vertical="center" textRotation="90" wrapText="1"/>
    </xf>
    <xf numFmtId="0" fontId="12" fillId="22" borderId="47" xfId="4" applyFont="1" applyFill="1" applyBorder="1" applyAlignment="1">
      <alignment horizontal="left" vertical="center"/>
    </xf>
    <xf numFmtId="0" fontId="12" fillId="22" borderId="46" xfId="4" applyFont="1" applyFill="1" applyBorder="1" applyAlignment="1">
      <alignment horizontal="left" vertical="center"/>
    </xf>
    <xf numFmtId="0" fontId="12" fillId="22" borderId="45" xfId="4" applyFont="1" applyFill="1" applyBorder="1" applyAlignment="1">
      <alignment horizontal="left" vertical="center"/>
    </xf>
    <xf numFmtId="169" fontId="50" fillId="3" borderId="47" xfId="1" applyNumberFormat="1" applyFont="1" applyFill="1" applyBorder="1" applyAlignment="1">
      <alignment horizontal="center"/>
    </xf>
    <xf numFmtId="169" fontId="50" fillId="3" borderId="46" xfId="1" applyNumberFormat="1" applyFont="1" applyFill="1" applyBorder="1" applyAlignment="1">
      <alignment horizontal="center"/>
    </xf>
    <xf numFmtId="169" fontId="50" fillId="3" borderId="45" xfId="1" applyNumberFormat="1" applyFont="1" applyFill="1" applyBorder="1" applyAlignment="1">
      <alignment horizontal="center"/>
    </xf>
    <xf numFmtId="169" fontId="26" fillId="3" borderId="47" xfId="1" applyNumberFormat="1" applyFont="1" applyFill="1" applyBorder="1" applyAlignment="1">
      <alignment horizontal="center"/>
    </xf>
    <xf numFmtId="169" fontId="26" fillId="3" borderId="46" xfId="1" applyNumberFormat="1" applyFont="1" applyFill="1" applyBorder="1" applyAlignment="1">
      <alignment horizontal="center"/>
    </xf>
    <xf numFmtId="169" fontId="26" fillId="3" borderId="45" xfId="1" applyNumberFormat="1" applyFont="1" applyFill="1" applyBorder="1" applyAlignment="1">
      <alignment horizontal="center"/>
    </xf>
    <xf numFmtId="0" fontId="13" fillId="3" borderId="43" xfId="4" applyFont="1" applyFill="1" applyBorder="1" applyAlignment="1">
      <alignment vertical="center" wrapText="1"/>
    </xf>
    <xf numFmtId="0" fontId="13" fillId="3" borderId="11" xfId="4" applyFont="1" applyFill="1" applyBorder="1" applyAlignment="1">
      <alignment vertical="center" wrapText="1"/>
    </xf>
    <xf numFmtId="0" fontId="13" fillId="3" borderId="8" xfId="4" applyFont="1" applyFill="1" applyBorder="1" applyAlignment="1">
      <alignment vertical="center" wrapText="1"/>
    </xf>
    <xf numFmtId="169" fontId="44" fillId="22" borderId="43" xfId="1" applyNumberFormat="1" applyFont="1" applyFill="1" applyBorder="1" applyAlignment="1" applyProtection="1">
      <alignment horizontal="center" vertical="center" wrapText="1"/>
    </xf>
    <xf numFmtId="169" fontId="44" fillId="22" borderId="11" xfId="1" applyNumberFormat="1" applyFont="1" applyFill="1" applyBorder="1" applyAlignment="1" applyProtection="1">
      <alignment horizontal="center" vertical="center" wrapText="1"/>
    </xf>
    <xf numFmtId="169" fontId="44" fillId="22" borderId="8" xfId="1" applyNumberFormat="1" applyFont="1" applyFill="1" applyBorder="1" applyAlignment="1" applyProtection="1">
      <alignment horizontal="center" vertical="center" wrapText="1"/>
    </xf>
    <xf numFmtId="169" fontId="50" fillId="3" borderId="5" xfId="1" applyNumberFormat="1" applyFont="1" applyFill="1" applyBorder="1" applyAlignment="1" applyProtection="1">
      <alignment horizontal="center" wrapText="1"/>
    </xf>
    <xf numFmtId="169" fontId="50" fillId="3" borderId="0" xfId="1" applyNumberFormat="1" applyFont="1" applyFill="1" applyBorder="1" applyAlignment="1" applyProtection="1">
      <alignment horizontal="center" wrapText="1"/>
    </xf>
    <xf numFmtId="169" fontId="50" fillId="3" borderId="44" xfId="1" applyNumberFormat="1" applyFont="1" applyFill="1" applyBorder="1" applyAlignment="1" applyProtection="1">
      <alignment horizontal="center" wrapText="1"/>
    </xf>
    <xf numFmtId="167" fontId="52" fillId="3" borderId="0" xfId="1" applyNumberFormat="1" applyFont="1" applyFill="1" applyBorder="1" applyAlignment="1" applyProtection="1">
      <alignment horizontal="right" vertical="center"/>
      <protection hidden="1"/>
    </xf>
    <xf numFmtId="0" fontId="61" fillId="3" borderId="9" xfId="4" applyFont="1" applyFill="1" applyBorder="1" applyAlignment="1">
      <alignment horizontal="left" vertical="top" wrapText="1"/>
    </xf>
    <xf numFmtId="169" fontId="69" fillId="3" borderId="6" xfId="1" applyNumberFormat="1" applyFont="1" applyFill="1" applyBorder="1" applyAlignment="1">
      <alignment horizontal="center"/>
    </xf>
    <xf numFmtId="169" fontId="69" fillId="3" borderId="4" xfId="1" applyNumberFormat="1" applyFont="1" applyFill="1" applyBorder="1" applyAlignment="1">
      <alignment horizontal="center"/>
    </xf>
    <xf numFmtId="169" fontId="69" fillId="3" borderId="10" xfId="1" applyNumberFormat="1" applyFont="1" applyFill="1" applyBorder="1" applyAlignment="1">
      <alignment horizontal="center"/>
    </xf>
    <xf numFmtId="169" fontId="70" fillId="3" borderId="6" xfId="1" applyNumberFormat="1" applyFont="1" applyFill="1" applyBorder="1" applyAlignment="1">
      <alignment horizontal="center" wrapText="1"/>
    </xf>
    <xf numFmtId="169" fontId="70" fillId="3" borderId="4" xfId="1" applyNumberFormat="1" applyFont="1" applyFill="1" applyBorder="1" applyAlignment="1">
      <alignment horizontal="center" wrapText="1"/>
    </xf>
    <xf numFmtId="169" fontId="70" fillId="3" borderId="10" xfId="1" applyNumberFormat="1" applyFont="1" applyFill="1" applyBorder="1" applyAlignment="1">
      <alignment horizontal="center" wrapText="1"/>
    </xf>
    <xf numFmtId="0" fontId="61" fillId="3" borderId="9" xfId="4" applyFont="1" applyFill="1" applyBorder="1" applyAlignment="1">
      <alignment horizontal="left" vertical="center" wrapText="1"/>
    </xf>
    <xf numFmtId="169" fontId="44" fillId="3" borderId="47" xfId="1" applyNumberFormat="1" applyFont="1" applyFill="1" applyBorder="1" applyAlignment="1">
      <alignment horizontal="center"/>
    </xf>
    <xf numFmtId="169" fontId="44" fillId="3" borderId="46" xfId="1" applyNumberFormat="1" applyFont="1" applyFill="1" applyBorder="1" applyAlignment="1">
      <alignment horizontal="center"/>
    </xf>
    <xf numFmtId="169" fontId="44" fillId="3" borderId="45" xfId="1" applyNumberFormat="1" applyFont="1" applyFill="1" applyBorder="1" applyAlignment="1">
      <alignment horizontal="center"/>
    </xf>
    <xf numFmtId="0" fontId="13" fillId="22" borderId="43" xfId="4" applyFont="1" applyFill="1" applyBorder="1" applyAlignment="1">
      <alignment horizontal="left" vertical="center" wrapText="1"/>
    </xf>
    <xf numFmtId="0" fontId="13" fillId="22" borderId="11" xfId="4" applyFont="1" applyFill="1" applyBorder="1" applyAlignment="1">
      <alignment horizontal="left" vertical="center" wrapText="1"/>
    </xf>
    <xf numFmtId="0" fontId="7" fillId="3" borderId="9" xfId="4" applyFont="1" applyFill="1" applyBorder="1" applyAlignment="1">
      <alignment horizontal="left" vertical="center" wrapText="1"/>
    </xf>
    <xf numFmtId="169" fontId="3" fillId="3" borderId="6" xfId="1" applyNumberFormat="1" applyFont="1" applyFill="1" applyBorder="1" applyAlignment="1">
      <alignment horizontal="center"/>
    </xf>
    <xf numFmtId="169" fontId="3" fillId="3" borderId="4" xfId="1" applyNumberFormat="1" applyFont="1" applyFill="1" applyBorder="1" applyAlignment="1">
      <alignment horizontal="center"/>
    </xf>
    <xf numFmtId="169" fontId="3" fillId="3" borderId="10" xfId="1" applyNumberFormat="1" applyFont="1" applyFill="1" applyBorder="1" applyAlignment="1">
      <alignment horizontal="center"/>
    </xf>
    <xf numFmtId="3" fontId="52" fillId="3" borderId="0" xfId="4" applyNumberFormat="1" applyFont="1" applyFill="1" applyAlignment="1" applyProtection="1">
      <alignment horizontal="right" vertical="center" wrapText="1"/>
      <protection hidden="1"/>
    </xf>
    <xf numFmtId="169" fontId="44" fillId="23" borderId="0" xfId="1" applyNumberFormat="1" applyFont="1" applyFill="1" applyBorder="1" applyAlignment="1" applyProtection="1">
      <alignment horizontal="center" vertical="center" wrapText="1"/>
    </xf>
    <xf numFmtId="169" fontId="44" fillId="3" borderId="0" xfId="1" applyNumberFormat="1" applyFont="1" applyFill="1" applyBorder="1" applyAlignment="1" applyProtection="1">
      <alignment horizontal="center" vertical="center" wrapText="1"/>
    </xf>
    <xf numFmtId="169" fontId="44" fillId="3" borderId="0" xfId="1" applyNumberFormat="1" applyFont="1" applyFill="1" applyBorder="1" applyAlignment="1" applyProtection="1">
      <alignment horizontal="center" wrapText="1"/>
    </xf>
    <xf numFmtId="169" fontId="44" fillId="3" borderId="5" xfId="1" applyNumberFormat="1" applyFont="1" applyFill="1" applyBorder="1" applyAlignment="1" applyProtection="1">
      <alignment horizontal="center" wrapText="1"/>
    </xf>
    <xf numFmtId="169" fontId="44" fillId="3" borderId="44" xfId="1" applyNumberFormat="1" applyFont="1" applyFill="1" applyBorder="1" applyAlignment="1" applyProtection="1">
      <alignment horizontal="center" wrapText="1"/>
    </xf>
    <xf numFmtId="0" fontId="13" fillId="22" borderId="5" xfId="4" applyFont="1" applyFill="1" applyBorder="1" applyAlignment="1">
      <alignment horizontal="left" vertical="center" wrapText="1"/>
    </xf>
    <xf numFmtId="0" fontId="13" fillId="22" borderId="0" xfId="4" applyFont="1" applyFill="1" applyAlignment="1">
      <alignment horizontal="left" vertical="center" wrapText="1"/>
    </xf>
    <xf numFmtId="169" fontId="44" fillId="22" borderId="0" xfId="1" applyNumberFormat="1" applyFont="1" applyFill="1" applyBorder="1" applyAlignment="1" applyProtection="1">
      <alignment horizontal="center" vertical="center" wrapText="1"/>
    </xf>
    <xf numFmtId="169" fontId="44" fillId="22" borderId="0" xfId="1" applyNumberFormat="1" applyFont="1" applyFill="1" applyBorder="1" applyAlignment="1" applyProtection="1">
      <alignment horizontal="center" wrapText="1"/>
    </xf>
    <xf numFmtId="169" fontId="44" fillId="22" borderId="5" xfId="1" applyNumberFormat="1" applyFont="1" applyFill="1" applyBorder="1" applyAlignment="1" applyProtection="1">
      <alignment horizontal="center" wrapText="1"/>
    </xf>
    <xf numFmtId="169" fontId="44" fillId="22" borderId="44" xfId="1" applyNumberFormat="1" applyFont="1" applyFill="1" applyBorder="1" applyAlignment="1" applyProtection="1">
      <alignment horizontal="center" wrapText="1"/>
    </xf>
    <xf numFmtId="169" fontId="50" fillId="23" borderId="0" xfId="1" applyNumberFormat="1" applyFont="1" applyFill="1" applyBorder="1" applyAlignment="1" applyProtection="1">
      <alignment horizontal="center" vertical="center" wrapText="1"/>
    </xf>
    <xf numFmtId="169" fontId="50" fillId="3" borderId="0" xfId="1" applyNumberFormat="1" applyFont="1" applyFill="1" applyBorder="1" applyAlignment="1" applyProtection="1">
      <alignment horizontal="center" vertical="center" wrapText="1"/>
    </xf>
    <xf numFmtId="0" fontId="11" fillId="22" borderId="47" xfId="4" applyFont="1" applyFill="1" applyBorder="1" applyAlignment="1">
      <alignment horizontal="left" vertical="center" wrapText="1"/>
    </xf>
    <xf numFmtId="0" fontId="11" fillId="22" borderId="46" xfId="4" applyFont="1" applyFill="1" applyBorder="1" applyAlignment="1">
      <alignment horizontal="left" vertical="center" wrapText="1"/>
    </xf>
    <xf numFmtId="169" fontId="70" fillId="22" borderId="46" xfId="1" applyNumberFormat="1" applyFont="1" applyFill="1" applyBorder="1" applyAlignment="1" applyProtection="1">
      <alignment horizontal="center" wrapText="1"/>
    </xf>
    <xf numFmtId="169" fontId="70" fillId="22" borderId="46" xfId="1" applyNumberFormat="1" applyFont="1" applyFill="1" applyBorder="1" applyAlignment="1" applyProtection="1">
      <alignment horizontal="center" vertical="center" wrapText="1"/>
    </xf>
    <xf numFmtId="169" fontId="70" fillId="22" borderId="47" xfId="1" applyNumberFormat="1" applyFont="1" applyFill="1" applyBorder="1" applyAlignment="1" applyProtection="1">
      <alignment horizontal="center" wrapText="1"/>
    </xf>
    <xf numFmtId="169" fontId="70" fillId="22" borderId="45" xfId="1" applyNumberFormat="1" applyFont="1" applyFill="1" applyBorder="1" applyAlignment="1" applyProtection="1">
      <alignment horizontal="center" wrapText="1"/>
    </xf>
    <xf numFmtId="0" fontId="12" fillId="3" borderId="4" xfId="4" applyFont="1" applyFill="1" applyBorder="1" applyAlignment="1">
      <alignment horizontal="center" vertical="center" textRotation="90" wrapText="1"/>
    </xf>
    <xf numFmtId="0" fontId="12" fillId="3" borderId="10" xfId="4" applyFont="1" applyFill="1" applyBorder="1" applyAlignment="1">
      <alignment horizontal="center" vertical="center" textRotation="90" wrapText="1"/>
    </xf>
    <xf numFmtId="169" fontId="44" fillId="3" borderId="11" xfId="1" applyNumberFormat="1" applyFont="1" applyFill="1" applyBorder="1" applyAlignment="1" applyProtection="1">
      <alignment horizontal="center" wrapText="1"/>
    </xf>
    <xf numFmtId="169" fontId="44" fillId="3" borderId="11" xfId="1" applyNumberFormat="1" applyFont="1" applyFill="1" applyBorder="1" applyAlignment="1" applyProtection="1">
      <alignment horizontal="center" vertical="center" wrapText="1"/>
    </xf>
    <xf numFmtId="169" fontId="44" fillId="3" borderId="43" xfId="1" applyNumberFormat="1" applyFont="1" applyFill="1" applyBorder="1" applyAlignment="1" applyProtection="1">
      <alignment horizontal="center" wrapText="1"/>
    </xf>
    <xf numFmtId="169" fontId="44" fillId="3" borderId="8" xfId="1" applyNumberFormat="1" applyFont="1" applyFill="1" applyBorder="1" applyAlignment="1" applyProtection="1">
      <alignment horizontal="center" wrapText="1"/>
    </xf>
    <xf numFmtId="3" fontId="48" fillId="3" borderId="0" xfId="4" applyNumberFormat="1" applyFont="1" applyFill="1" applyAlignment="1" applyProtection="1">
      <alignment horizontal="right" vertical="center" wrapText="1"/>
      <protection hidden="1"/>
    </xf>
    <xf numFmtId="0" fontId="13" fillId="22" borderId="8" xfId="4" applyFont="1" applyFill="1" applyBorder="1" applyAlignment="1">
      <alignment horizontal="left" vertical="center" wrapText="1"/>
    </xf>
    <xf numFmtId="169" fontId="44" fillId="22" borderId="11" xfId="1" applyNumberFormat="1" applyFont="1" applyFill="1" applyBorder="1" applyAlignment="1" applyProtection="1">
      <alignment horizontal="center" wrapText="1"/>
    </xf>
    <xf numFmtId="169" fontId="44" fillId="22" borderId="43" xfId="1" applyNumberFormat="1" applyFont="1" applyFill="1" applyBorder="1" applyAlignment="1" applyProtection="1">
      <alignment horizontal="center" wrapText="1"/>
    </xf>
    <xf numFmtId="169" fontId="44" fillId="22" borderId="8" xfId="1" applyNumberFormat="1" applyFont="1" applyFill="1" applyBorder="1" applyAlignment="1" applyProtection="1">
      <alignment horizontal="center" wrapText="1"/>
    </xf>
    <xf numFmtId="0" fontId="60" fillId="3" borderId="0" xfId="4" applyFont="1" applyFill="1" applyAlignment="1">
      <alignment horizontal="center" vertical="center" textRotation="90"/>
    </xf>
    <xf numFmtId="167" fontId="48" fillId="3" borderId="0" xfId="1" applyNumberFormat="1" applyFont="1" applyFill="1" applyBorder="1" applyAlignment="1" applyProtection="1">
      <alignment horizontal="right" vertical="center"/>
      <protection hidden="1"/>
    </xf>
    <xf numFmtId="0" fontId="51" fillId="3" borderId="0" xfId="4" applyFont="1" applyFill="1" applyAlignment="1" applyProtection="1">
      <alignment horizontal="center" vertical="center" textRotation="90" wrapText="1"/>
      <protection hidden="1"/>
    </xf>
    <xf numFmtId="3" fontId="52" fillId="3" borderId="0" xfId="4" applyNumberFormat="1" applyFont="1" applyFill="1" applyAlignment="1" applyProtection="1">
      <alignment horizontal="right" vertical="center"/>
      <protection hidden="1"/>
    </xf>
    <xf numFmtId="169" fontId="50" fillId="22" borderId="0" xfId="1" applyNumberFormat="1" applyFont="1" applyFill="1" applyBorder="1" applyAlignment="1" applyProtection="1">
      <alignment horizontal="center" wrapText="1"/>
    </xf>
    <xf numFmtId="169" fontId="50" fillId="22" borderId="0" xfId="1" applyNumberFormat="1" applyFont="1" applyFill="1" applyBorder="1" applyAlignment="1" applyProtection="1">
      <alignment horizontal="center" vertical="center" wrapText="1"/>
    </xf>
    <xf numFmtId="0" fontId="56" fillId="3" borderId="0" xfId="4" applyFont="1" applyFill="1" applyAlignment="1" applyProtection="1">
      <alignment horizontal="center" vertical="center" textRotation="90" wrapText="1"/>
      <protection hidden="1"/>
    </xf>
    <xf numFmtId="0" fontId="12" fillId="3" borderId="9" xfId="4" applyFont="1" applyFill="1" applyBorder="1" applyAlignment="1">
      <alignment horizontal="center" vertical="center" textRotation="90" wrapText="1"/>
    </xf>
    <xf numFmtId="0" fontId="12" fillId="3" borderId="1" xfId="4" applyFont="1" applyFill="1" applyBorder="1" applyAlignment="1">
      <alignment horizontal="center" vertical="center" textRotation="90" wrapText="1"/>
    </xf>
    <xf numFmtId="0" fontId="12" fillId="22" borderId="47" xfId="4" applyFont="1" applyFill="1" applyBorder="1" applyAlignment="1">
      <alignment horizontal="left" vertical="center" wrapText="1"/>
    </xf>
    <xf numFmtId="0" fontId="12" fillId="22" borderId="46" xfId="4" applyFont="1" applyFill="1" applyBorder="1" applyAlignment="1">
      <alignment horizontal="left" vertical="center" wrapText="1"/>
    </xf>
    <xf numFmtId="0" fontId="12" fillId="22" borderId="45" xfId="4" applyFont="1" applyFill="1" applyBorder="1" applyAlignment="1">
      <alignment horizontal="left" vertical="center" wrapText="1"/>
    </xf>
    <xf numFmtId="169" fontId="50" fillId="22" borderId="46" xfId="1" applyNumberFormat="1" applyFont="1" applyFill="1" applyBorder="1" applyAlignment="1" applyProtection="1">
      <alignment horizontal="center" wrapText="1"/>
    </xf>
    <xf numFmtId="169" fontId="50" fillId="22" borderId="46" xfId="1" applyNumberFormat="1" applyFont="1" applyFill="1" applyBorder="1" applyAlignment="1" applyProtection="1">
      <alignment horizontal="center" vertical="center" wrapText="1"/>
    </xf>
    <xf numFmtId="169" fontId="50" fillId="22" borderId="47" xfId="1" applyNumberFormat="1" applyFont="1" applyFill="1" applyBorder="1" applyAlignment="1" applyProtection="1">
      <alignment horizontal="center" wrapText="1"/>
    </xf>
    <xf numFmtId="169" fontId="50" fillId="22" borderId="45" xfId="1" applyNumberFormat="1" applyFont="1" applyFill="1" applyBorder="1" applyAlignment="1" applyProtection="1">
      <alignment horizontal="center" wrapText="1"/>
    </xf>
    <xf numFmtId="3" fontId="55" fillId="3" borderId="0" xfId="4" applyNumberFormat="1" applyFont="1" applyFill="1" applyAlignment="1" applyProtection="1">
      <alignment horizontal="center" wrapText="1"/>
      <protection locked="0"/>
    </xf>
    <xf numFmtId="3" fontId="55" fillId="3" borderId="0" xfId="4" applyNumberFormat="1" applyFont="1" applyFill="1" applyAlignment="1" applyProtection="1">
      <alignment horizontal="left" wrapText="1"/>
      <protection locked="0"/>
    </xf>
    <xf numFmtId="3" fontId="55" fillId="3" borderId="0" xfId="4" applyNumberFormat="1" applyFont="1" applyFill="1" applyAlignment="1" applyProtection="1">
      <alignment horizontal="left" vertical="top" wrapText="1"/>
      <protection locked="0"/>
    </xf>
    <xf numFmtId="0" fontId="55" fillId="3" borderId="0" xfId="4" applyFont="1" applyFill="1" applyAlignment="1">
      <alignment horizontal="center" wrapText="1"/>
    </xf>
    <xf numFmtId="0" fontId="55" fillId="3" borderId="0" xfId="4" applyFont="1" applyFill="1" applyAlignment="1">
      <alignment horizontal="left" wrapText="1"/>
    </xf>
    <xf numFmtId="0" fontId="57" fillId="3" borderId="0" xfId="4" applyFont="1" applyFill="1" applyAlignment="1">
      <alignment horizontal="center" vertical="center" textRotation="90" wrapText="1"/>
    </xf>
    <xf numFmtId="169" fontId="50" fillId="3" borderId="11" xfId="1" applyNumberFormat="1" applyFont="1" applyFill="1" applyBorder="1" applyAlignment="1" applyProtection="1">
      <alignment horizontal="center" wrapText="1"/>
    </xf>
    <xf numFmtId="169" fontId="50" fillId="3" borderId="43" xfId="1" applyNumberFormat="1" applyFont="1" applyFill="1" applyBorder="1" applyAlignment="1" applyProtection="1">
      <alignment horizontal="center" wrapText="1"/>
    </xf>
    <xf numFmtId="169" fontId="50" fillId="3" borderId="8" xfId="1" applyNumberFormat="1" applyFont="1" applyFill="1" applyBorder="1" applyAlignment="1" applyProtection="1">
      <alignment horizontal="center" wrapText="1"/>
    </xf>
    <xf numFmtId="0" fontId="13" fillId="22" borderId="44" xfId="4" applyFont="1" applyFill="1" applyBorder="1" applyAlignment="1">
      <alignment horizontal="left" vertical="center" wrapText="1"/>
    </xf>
    <xf numFmtId="169" fontId="69" fillId="22" borderId="0" xfId="1" applyNumberFormat="1" applyFont="1" applyFill="1" applyBorder="1" applyAlignment="1" applyProtection="1">
      <alignment horizontal="center" wrapText="1"/>
    </xf>
    <xf numFmtId="0" fontId="56" fillId="3" borderId="0" xfId="4" applyFont="1" applyFill="1" applyAlignment="1">
      <alignment horizontal="left" vertical="top"/>
    </xf>
    <xf numFmtId="0" fontId="55" fillId="3" borderId="0" xfId="4" applyFont="1" applyFill="1" applyAlignment="1">
      <alignment horizontal="left" vertical="top" wrapText="1"/>
    </xf>
    <xf numFmtId="3" fontId="52" fillId="3" borderId="0" xfId="4" applyNumberFormat="1" applyFont="1" applyFill="1" applyAlignment="1">
      <alignment horizontal="right"/>
    </xf>
    <xf numFmtId="3" fontId="51" fillId="3" borderId="0" xfId="4" applyNumberFormat="1" applyFont="1" applyFill="1" applyAlignment="1">
      <alignment horizontal="center" vertical="center"/>
    </xf>
    <xf numFmtId="0" fontId="51" fillId="3" borderId="0" xfId="4" applyFont="1" applyFill="1" applyAlignment="1">
      <alignment horizontal="center" vertical="center"/>
    </xf>
    <xf numFmtId="0" fontId="55" fillId="3" borderId="0" xfId="4" applyFont="1" applyFill="1" applyAlignment="1">
      <alignment horizontal="center" vertical="center" textRotation="90" wrapText="1"/>
    </xf>
    <xf numFmtId="0" fontId="51" fillId="3" borderId="0" xfId="4" applyFont="1" applyFill="1" applyAlignment="1" applyProtection="1">
      <alignment horizontal="right" wrapText="1"/>
      <protection locked="0"/>
    </xf>
    <xf numFmtId="49" fontId="51" fillId="3" borderId="0" xfId="4" applyNumberFormat="1" applyFont="1" applyFill="1" applyAlignment="1" applyProtection="1">
      <alignment horizontal="right" wrapText="1"/>
      <protection locked="0"/>
    </xf>
    <xf numFmtId="169" fontId="50" fillId="22" borderId="5" xfId="1" applyNumberFormat="1" applyFont="1" applyFill="1" applyBorder="1" applyAlignment="1" applyProtection="1">
      <alignment horizontal="center" wrapText="1"/>
    </xf>
    <xf numFmtId="169" fontId="50" fillId="22" borderId="44" xfId="1" applyNumberFormat="1" applyFont="1" applyFill="1" applyBorder="1" applyAlignment="1" applyProtection="1">
      <alignment horizontal="center" wrapText="1"/>
    </xf>
    <xf numFmtId="3" fontId="50" fillId="3" borderId="43" xfId="4" applyNumberFormat="1" applyFont="1" applyFill="1" applyBorder="1" applyAlignment="1">
      <alignment horizontal="right"/>
    </xf>
    <xf numFmtId="3" fontId="50" fillId="3" borderId="11" xfId="4" applyNumberFormat="1" applyFont="1" applyFill="1" applyBorder="1" applyAlignment="1">
      <alignment horizontal="right"/>
    </xf>
    <xf numFmtId="3" fontId="50" fillId="3" borderId="8" xfId="4" applyNumberFormat="1" applyFont="1" applyFill="1" applyBorder="1" applyAlignment="1">
      <alignment horizontal="right"/>
    </xf>
    <xf numFmtId="3" fontId="14" fillId="3" borderId="11" xfId="4" applyNumberFormat="1" applyFont="1" applyFill="1" applyBorder="1" applyAlignment="1">
      <alignment horizontal="center" vertical="center"/>
    </xf>
    <xf numFmtId="0" fontId="14" fillId="0" borderId="43" xfId="4" applyFont="1" applyBorder="1" applyAlignment="1">
      <alignment horizontal="center" vertical="center"/>
    </xf>
    <xf numFmtId="0" fontId="14" fillId="0" borderId="11" xfId="4" applyFont="1" applyBorder="1" applyAlignment="1">
      <alignment horizontal="center" vertical="center"/>
    </xf>
    <xf numFmtId="0" fontId="14" fillId="0" borderId="8" xfId="4" applyFont="1" applyBorder="1" applyAlignment="1">
      <alignment horizontal="center" vertical="center"/>
    </xf>
    <xf numFmtId="0" fontId="12" fillId="22" borderId="6" xfId="4" applyFont="1" applyFill="1" applyBorder="1" applyAlignment="1">
      <alignment horizontal="left" vertical="center" wrapText="1"/>
    </xf>
    <xf numFmtId="0" fontId="12" fillId="22" borderId="4" xfId="4" applyFont="1" applyFill="1" applyBorder="1" applyAlignment="1">
      <alignment horizontal="left" vertical="center" wrapText="1"/>
    </xf>
    <xf numFmtId="0" fontId="12" fillId="22" borderId="10" xfId="4" applyFont="1" applyFill="1" applyBorder="1" applyAlignment="1">
      <alignment horizontal="left" vertical="center" wrapText="1"/>
    </xf>
    <xf numFmtId="0" fontId="2" fillId="3" borderId="6" xfId="4" applyFont="1" applyFill="1" applyBorder="1" applyAlignment="1">
      <alignment horizontal="center" vertical="center"/>
    </xf>
    <xf numFmtId="0" fontId="2" fillId="3" borderId="4" xfId="4" applyFont="1" applyFill="1" applyBorder="1" applyAlignment="1">
      <alignment horizontal="center" vertical="center"/>
    </xf>
    <xf numFmtId="0" fontId="2" fillId="3" borderId="10" xfId="4" applyFont="1" applyFill="1" applyBorder="1" applyAlignment="1">
      <alignment horizontal="center" vertical="center"/>
    </xf>
    <xf numFmtId="0" fontId="53" fillId="3" borderId="6" xfId="4" applyFont="1" applyFill="1" applyBorder="1" applyAlignment="1">
      <alignment horizontal="center" wrapText="1"/>
    </xf>
    <xf numFmtId="0" fontId="53" fillId="3" borderId="4" xfId="4" applyFont="1" applyFill="1" applyBorder="1" applyAlignment="1">
      <alignment horizontal="center" wrapText="1"/>
    </xf>
    <xf numFmtId="0" fontId="53" fillId="3" borderId="10" xfId="4" applyFont="1" applyFill="1" applyBorder="1" applyAlignment="1">
      <alignment horizontal="center" wrapText="1"/>
    </xf>
    <xf numFmtId="169" fontId="69" fillId="22" borderId="0" xfId="1" applyNumberFormat="1" applyFont="1" applyFill="1" applyBorder="1" applyAlignment="1" applyProtection="1">
      <alignment horizontal="center" vertical="center" wrapText="1"/>
    </xf>
    <xf numFmtId="169" fontId="69" fillId="22" borderId="5" xfId="1" applyNumberFormat="1" applyFont="1" applyFill="1" applyBorder="1" applyAlignment="1" applyProtection="1">
      <alignment horizontal="center" wrapText="1"/>
    </xf>
    <xf numFmtId="169" fontId="69" fillId="22" borderId="44" xfId="1" applyNumberFormat="1" applyFont="1" applyFill="1" applyBorder="1" applyAlignment="1" applyProtection="1">
      <alignment horizontal="center" wrapText="1"/>
    </xf>
    <xf numFmtId="0" fontId="12" fillId="3" borderId="47" xfId="4" applyFont="1" applyFill="1" applyBorder="1" applyAlignment="1">
      <alignment horizontal="left" vertical="center" wrapText="1"/>
    </xf>
    <xf numFmtId="0" fontId="12" fillId="3" borderId="45" xfId="4" applyFont="1" applyFill="1" applyBorder="1" applyAlignment="1">
      <alignment horizontal="left" vertical="center" wrapText="1"/>
    </xf>
    <xf numFmtId="169" fontId="50" fillId="3" borderId="46" xfId="1" applyNumberFormat="1" applyFont="1" applyFill="1" applyBorder="1" applyAlignment="1" applyProtection="1">
      <alignment horizontal="center" wrapText="1"/>
    </xf>
    <xf numFmtId="169" fontId="50" fillId="3" borderId="46" xfId="1" applyNumberFormat="1" applyFont="1" applyFill="1" applyBorder="1" applyAlignment="1" applyProtection="1">
      <alignment horizontal="center" vertical="center" wrapText="1"/>
    </xf>
    <xf numFmtId="169" fontId="50" fillId="3" borderId="47" xfId="1" applyNumberFormat="1" applyFont="1" applyFill="1" applyBorder="1" applyAlignment="1" applyProtection="1">
      <alignment horizontal="center" wrapText="1"/>
    </xf>
    <xf numFmtId="169" fontId="50" fillId="3" borderId="45" xfId="1" applyNumberFormat="1" applyFont="1" applyFill="1" applyBorder="1" applyAlignment="1" applyProtection="1">
      <alignment horizontal="center" wrapText="1"/>
    </xf>
    <xf numFmtId="0" fontId="53" fillId="3" borderId="6" xfId="4" applyFont="1" applyFill="1" applyBorder="1" applyAlignment="1">
      <alignment horizontal="left" wrapText="1"/>
    </xf>
    <xf numFmtId="0" fontId="53" fillId="3" borderId="4" xfId="4" applyFont="1" applyFill="1" applyBorder="1" applyAlignment="1">
      <alignment horizontal="left" wrapText="1"/>
    </xf>
    <xf numFmtId="169" fontId="26" fillId="3" borderId="4" xfId="1" applyNumberFormat="1" applyFont="1" applyFill="1" applyBorder="1" applyAlignment="1" applyProtection="1">
      <alignment horizontal="center"/>
      <protection locked="0"/>
    </xf>
    <xf numFmtId="169" fontId="26" fillId="3" borderId="11" xfId="1" applyNumberFormat="1" applyFont="1" applyFill="1" applyBorder="1" applyAlignment="1" applyProtection="1">
      <alignment horizontal="center"/>
      <protection locked="0"/>
    </xf>
    <xf numFmtId="169" fontId="26" fillId="3" borderId="8" xfId="1" applyNumberFormat="1" applyFont="1" applyFill="1" applyBorder="1" applyAlignment="1" applyProtection="1">
      <alignment horizontal="center"/>
      <protection locked="0"/>
    </xf>
    <xf numFmtId="49" fontId="9" fillId="3" borderId="4" xfId="1" applyNumberFormat="1" applyFont="1" applyFill="1" applyBorder="1" applyAlignment="1">
      <alignment horizontal="right" vertical="center"/>
    </xf>
    <xf numFmtId="0" fontId="53" fillId="3" borderId="4" xfId="4" applyFont="1" applyFill="1" applyBorder="1" applyAlignment="1">
      <alignment wrapText="1"/>
    </xf>
    <xf numFmtId="0" fontId="12" fillId="3" borderId="4" xfId="4" applyFont="1" applyFill="1" applyBorder="1" applyAlignment="1">
      <alignment horizontal="right" vertical="center"/>
    </xf>
    <xf numFmtId="0" fontId="53" fillId="3" borderId="4" xfId="4" applyFont="1" applyFill="1" applyBorder="1" applyAlignment="1">
      <alignment horizontal="left" vertical="center" wrapText="1"/>
    </xf>
    <xf numFmtId="0" fontId="49" fillId="3" borderId="0" xfId="4" applyFont="1" applyFill="1" applyAlignment="1">
      <alignment horizontal="center" vertical="center" wrapText="1"/>
    </xf>
    <xf numFmtId="49" fontId="29" fillId="3" borderId="0" xfId="4" applyNumberFormat="1" applyFont="1" applyFill="1" applyAlignment="1">
      <alignment horizontal="center" vertical="center"/>
    </xf>
    <xf numFmtId="0" fontId="50" fillId="3" borderId="6" xfId="4" applyFont="1" applyFill="1" applyBorder="1" applyAlignment="1">
      <alignment horizontal="center" vertical="center"/>
    </xf>
    <xf numFmtId="0" fontId="50" fillId="3" borderId="4" xfId="4" applyFont="1" applyFill="1" applyBorder="1" applyAlignment="1">
      <alignment horizontal="center" vertical="center"/>
    </xf>
    <xf numFmtId="0" fontId="50" fillId="3" borderId="10" xfId="4" applyFont="1" applyFill="1" applyBorder="1" applyAlignment="1">
      <alignment horizontal="center" vertical="center"/>
    </xf>
    <xf numFmtId="0" fontId="14" fillId="3" borderId="46" xfId="4" applyFont="1" applyFill="1" applyBorder="1" applyAlignment="1">
      <alignment horizontal="center" vertical="center" wrapText="1"/>
    </xf>
    <xf numFmtId="0" fontId="12" fillId="3" borderId="11" xfId="4" applyFont="1" applyFill="1" applyBorder="1" applyAlignment="1">
      <alignment horizontal="center" vertical="top" wrapText="1"/>
    </xf>
    <xf numFmtId="0" fontId="51" fillId="3" borderId="0" xfId="4" applyFont="1" applyFill="1" applyAlignment="1">
      <alignment horizontal="center"/>
    </xf>
    <xf numFmtId="0" fontId="52" fillId="3" borderId="0" xfId="4" applyFont="1" applyFill="1" applyAlignment="1">
      <alignment horizontal="center"/>
    </xf>
    <xf numFmtId="0" fontId="51" fillId="3" borderId="0" xfId="4" applyFont="1" applyFill="1" applyAlignment="1">
      <alignment horizontal="left" vertical="top"/>
    </xf>
    <xf numFmtId="0" fontId="53" fillId="3" borderId="63" xfId="4" applyFont="1" applyFill="1" applyBorder="1" applyAlignment="1">
      <alignment horizontal="center" vertical="center" textRotation="90" wrapText="1"/>
    </xf>
    <xf numFmtId="0" fontId="53" fillId="3" borderId="9" xfId="4" applyFont="1" applyFill="1" applyBorder="1" applyAlignment="1">
      <alignment horizontal="center" vertical="center" textRotation="90" wrapText="1"/>
    </xf>
    <xf numFmtId="0" fontId="31" fillId="3" borderId="87" xfId="4" applyFont="1" applyFill="1" applyBorder="1" applyAlignment="1">
      <alignment horizontal="center" vertical="center"/>
    </xf>
    <xf numFmtId="0" fontId="31" fillId="3" borderId="88" xfId="4" applyFont="1" applyFill="1" applyBorder="1" applyAlignment="1">
      <alignment horizontal="center" vertical="center"/>
    </xf>
    <xf numFmtId="0" fontId="31" fillId="3" borderId="89" xfId="4" applyFont="1" applyFill="1" applyBorder="1" applyAlignment="1">
      <alignment horizontal="center" vertical="center"/>
    </xf>
    <xf numFmtId="0" fontId="45" fillId="3" borderId="46" xfId="4" applyFont="1" applyFill="1" applyBorder="1" applyAlignment="1">
      <alignment horizontal="center" vertical="center" wrapText="1"/>
    </xf>
    <xf numFmtId="0" fontId="45" fillId="3" borderId="0" xfId="4" applyFont="1" applyFill="1" applyAlignment="1">
      <alignment horizontal="center" vertical="center" wrapText="1"/>
    </xf>
    <xf numFmtId="0" fontId="45" fillId="3" borderId="11" xfId="4" applyFont="1" applyFill="1" applyBorder="1" applyAlignment="1">
      <alignment horizontal="center" vertical="center" wrapText="1"/>
    </xf>
    <xf numFmtId="0" fontId="30" fillId="3" borderId="74" xfId="4" applyFont="1" applyFill="1" applyBorder="1" applyAlignment="1">
      <alignment horizontal="center" vertical="center" wrapText="1"/>
    </xf>
    <xf numFmtId="0" fontId="30" fillId="3" borderId="46" xfId="4" applyFont="1" applyFill="1" applyBorder="1" applyAlignment="1">
      <alignment horizontal="center" vertical="center" wrapText="1"/>
    </xf>
    <xf numFmtId="0" fontId="30" fillId="3" borderId="45" xfId="4" applyFont="1" applyFill="1" applyBorder="1" applyAlignment="1">
      <alignment horizontal="center" vertical="center" wrapText="1"/>
    </xf>
    <xf numFmtId="0" fontId="30" fillId="3" borderId="92" xfId="4" applyFont="1" applyFill="1" applyBorder="1" applyAlignment="1">
      <alignment horizontal="center" vertical="center" wrapText="1"/>
    </xf>
    <xf numFmtId="0" fontId="30" fillId="3" borderId="0" xfId="4" applyFont="1" applyFill="1" applyAlignment="1">
      <alignment horizontal="center" vertical="center" wrapText="1"/>
    </xf>
    <xf numFmtId="0" fontId="30" fillId="3" borderId="44" xfId="4" applyFont="1" applyFill="1" applyBorder="1" applyAlignment="1">
      <alignment horizontal="center" vertical="center" wrapText="1"/>
    </xf>
    <xf numFmtId="49" fontId="46" fillId="11" borderId="47" xfId="4" applyNumberFormat="1" applyFont="1" applyFill="1" applyBorder="1" applyAlignment="1">
      <alignment horizontal="center" vertical="center"/>
    </xf>
    <xf numFmtId="49" fontId="46" fillId="11" borderId="46" xfId="4" applyNumberFormat="1" applyFont="1" applyFill="1" applyBorder="1" applyAlignment="1">
      <alignment horizontal="center" vertical="center"/>
    </xf>
    <xf numFmtId="49" fontId="46" fillId="11" borderId="45" xfId="4" applyNumberFormat="1" applyFont="1" applyFill="1" applyBorder="1" applyAlignment="1">
      <alignment horizontal="center" vertical="center"/>
    </xf>
    <xf numFmtId="49" fontId="46" fillId="11" borderId="5" xfId="4" applyNumberFormat="1" applyFont="1" applyFill="1" applyBorder="1" applyAlignment="1">
      <alignment horizontal="center" vertical="center"/>
    </xf>
    <xf numFmtId="49" fontId="46" fillId="11" borderId="0" xfId="4" applyNumberFormat="1" applyFont="1" applyFill="1" applyAlignment="1">
      <alignment horizontal="center" vertical="center"/>
    </xf>
    <xf numFmtId="49" fontId="46" fillId="11" borderId="44" xfId="4" applyNumberFormat="1" applyFont="1" applyFill="1" applyBorder="1" applyAlignment="1">
      <alignment horizontal="center" vertical="center"/>
    </xf>
    <xf numFmtId="49" fontId="46" fillId="11" borderId="43" xfId="4" applyNumberFormat="1" applyFont="1" applyFill="1" applyBorder="1" applyAlignment="1">
      <alignment horizontal="center" vertical="center"/>
    </xf>
    <xf numFmtId="49" fontId="46" fillId="11" borderId="11" xfId="4" applyNumberFormat="1" applyFont="1" applyFill="1" applyBorder="1" applyAlignment="1">
      <alignment horizontal="center" vertical="center"/>
    </xf>
    <xf numFmtId="49" fontId="46" fillId="11" borderId="8" xfId="4" applyNumberFormat="1" applyFont="1" applyFill="1" applyBorder="1" applyAlignment="1">
      <alignment horizontal="center" vertical="center"/>
    </xf>
    <xf numFmtId="0" fontId="47" fillId="3" borderId="0" xfId="4" applyFont="1" applyFill="1" applyAlignment="1">
      <alignment horizontal="center" vertical="center"/>
    </xf>
    <xf numFmtId="0" fontId="48" fillId="3" borderId="0" xfId="4" applyFont="1" applyFill="1" applyAlignment="1">
      <alignment horizontal="center" vertical="center" wrapText="1"/>
    </xf>
    <xf numFmtId="0" fontId="1" fillId="3" borderId="43" xfId="4" applyFont="1" applyFill="1" applyBorder="1" applyAlignment="1">
      <alignment horizontal="center" vertical="center"/>
    </xf>
    <xf numFmtId="0" fontId="1" fillId="3" borderId="11" xfId="4" applyFont="1" applyFill="1" applyBorder="1" applyAlignment="1">
      <alignment horizontal="center" vertical="center"/>
    </xf>
    <xf numFmtId="0" fontId="1" fillId="3" borderId="8" xfId="4" applyFont="1" applyFill="1" applyBorder="1" applyAlignment="1">
      <alignment horizontal="center" vertical="center"/>
    </xf>
    <xf numFmtId="0" fontId="12" fillId="3" borderId="46" xfId="4" applyFont="1" applyFill="1" applyBorder="1" applyAlignment="1">
      <alignment horizontal="left" vertical="top"/>
    </xf>
    <xf numFmtId="0" fontId="12" fillId="3" borderId="47" xfId="4" applyFont="1" applyFill="1" applyBorder="1" applyAlignment="1">
      <alignment horizontal="left" vertical="top"/>
    </xf>
    <xf numFmtId="0" fontId="12" fillId="3" borderId="45" xfId="4" applyFont="1" applyFill="1" applyBorder="1" applyAlignment="1">
      <alignment horizontal="left" vertical="top"/>
    </xf>
    <xf numFmtId="0" fontId="12" fillId="3" borderId="47" xfId="4" applyFont="1" applyFill="1" applyBorder="1" applyAlignment="1">
      <alignment horizontal="left" vertical="top" wrapText="1"/>
    </xf>
    <xf numFmtId="0" fontId="12" fillId="3" borderId="46" xfId="4" applyFont="1" applyFill="1" applyBorder="1" applyAlignment="1">
      <alignment horizontal="left" vertical="top" wrapText="1"/>
    </xf>
    <xf numFmtId="0" fontId="12" fillId="3" borderId="45" xfId="4" applyFont="1" applyFill="1" applyBorder="1" applyAlignment="1">
      <alignment horizontal="left" vertical="top" wrapText="1"/>
    </xf>
    <xf numFmtId="0" fontId="54" fillId="3" borderId="0" xfId="4" applyFont="1" applyFill="1" applyAlignment="1" applyProtection="1">
      <alignment horizontal="center" vertical="top" wrapText="1"/>
      <protection hidden="1"/>
    </xf>
  </cellXfs>
  <cellStyles count="11">
    <cellStyle name="Hipervínculo" xfId="6" builtinId="8"/>
    <cellStyle name="Millares" xfId="1" builtinId="3"/>
    <cellStyle name="Millares [0]" xfId="2" builtinId="6"/>
    <cellStyle name="Millares 2" xfId="5" xr:uid="{4D9DBD75-D120-44F6-81EF-661DBA0B7496}"/>
    <cellStyle name="Millares 3" xfId="7" xr:uid="{403CEE9E-B3EB-4626-A7CD-8BAA843AD638}"/>
    <cellStyle name="Millares 5" xfId="9" xr:uid="{3F3B71EC-6353-49CC-B4A8-1F03F9412E15}"/>
    <cellStyle name="Millares_Intereses presuntivos año 2006" xfId="8" xr:uid="{DF0769C3-C1C6-448F-B6F2-0BE4DC07C99E}"/>
    <cellStyle name="Normal" xfId="0" builtinId="0"/>
    <cellStyle name="Normal 2" xfId="10" xr:uid="{81E1E648-69BF-4C6F-9CDE-8A930C22B50E}"/>
    <cellStyle name="Normal 2 2" xfId="4" xr:uid="{16BFDA46-FDA5-4ADF-BEA7-A2477FBCE036}"/>
    <cellStyle name="Porcentaje" xfId="3" builtinId="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119062</xdr:colOff>
      <xdr:row>21</xdr:row>
      <xdr:rowOff>133109</xdr:rowOff>
    </xdr:from>
    <xdr:to>
      <xdr:col>11</xdr:col>
      <xdr:colOff>209667</xdr:colOff>
      <xdr:row>25</xdr:row>
      <xdr:rowOff>135181</xdr:rowOff>
    </xdr:to>
    <xdr:pic>
      <xdr:nvPicPr>
        <xdr:cNvPr id="2" name="Imagen 1">
          <a:extLst>
            <a:ext uri="{FF2B5EF4-FFF2-40B4-BE49-F238E27FC236}">
              <a16:creationId xmlns:a16="http://schemas.microsoft.com/office/drawing/2014/main" id="{A7AED100-7362-4489-BCA4-D8FE3670EDDD}"/>
            </a:ext>
          </a:extLst>
        </xdr:cNvPr>
        <xdr:cNvPicPr>
          <a:picLocks noChangeAspect="1"/>
        </xdr:cNvPicPr>
      </xdr:nvPicPr>
      <xdr:blipFill>
        <a:blip xmlns:r="http://schemas.openxmlformats.org/officeDocument/2006/relationships" r:embed="rId1"/>
        <a:stretch>
          <a:fillRect/>
        </a:stretch>
      </xdr:blipFill>
      <xdr:spPr>
        <a:xfrm>
          <a:off x="5167312" y="3669265"/>
          <a:ext cx="6502121" cy="9307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58615</xdr:colOff>
      <xdr:row>4</xdr:row>
      <xdr:rowOff>111178</xdr:rowOff>
    </xdr:from>
    <xdr:to>
      <xdr:col>37</xdr:col>
      <xdr:colOff>36635</xdr:colOff>
      <xdr:row>9</xdr:row>
      <xdr:rowOff>49696</xdr:rowOff>
    </xdr:to>
    <xdr:sp macro="" textlink="">
      <xdr:nvSpPr>
        <xdr:cNvPr id="2" name="CuadroTexto 1">
          <a:extLst>
            <a:ext uri="{FF2B5EF4-FFF2-40B4-BE49-F238E27FC236}">
              <a16:creationId xmlns:a16="http://schemas.microsoft.com/office/drawing/2014/main" id="{6F5BB2A1-3943-4F86-B0DF-B9AE184F9746}"/>
            </a:ext>
          </a:extLst>
        </xdr:cNvPr>
        <xdr:cNvSpPr txBox="1"/>
      </xdr:nvSpPr>
      <xdr:spPr>
        <a:xfrm>
          <a:off x="13088815" y="644578"/>
          <a:ext cx="12322420" cy="60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a:solidFill>
                <a:srgbClr val="0070C0"/>
              </a:solidFill>
            </a:rPr>
            <a:t>BORRADOR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79375</xdr:colOff>
      <xdr:row>5</xdr:row>
      <xdr:rowOff>132293</xdr:rowOff>
    </xdr:from>
    <xdr:to>
      <xdr:col>39</xdr:col>
      <xdr:colOff>84667</xdr:colOff>
      <xdr:row>5</xdr:row>
      <xdr:rowOff>407407</xdr:rowOff>
    </xdr:to>
    <xdr:sp macro="" textlink="">
      <xdr:nvSpPr>
        <xdr:cNvPr id="3" name="CuadroTexto 2">
          <a:extLst>
            <a:ext uri="{FF2B5EF4-FFF2-40B4-BE49-F238E27FC236}">
              <a16:creationId xmlns:a16="http://schemas.microsoft.com/office/drawing/2014/main" id="{2A4A64F6-5B1B-46FA-97F0-DF928A0D2A94}"/>
            </a:ext>
          </a:extLst>
        </xdr:cNvPr>
        <xdr:cNvSpPr txBox="1"/>
      </xdr:nvSpPr>
      <xdr:spPr>
        <a:xfrm>
          <a:off x="4956175" y="1065743"/>
          <a:ext cx="3643842" cy="27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800">
              <a:solidFill>
                <a:srgbClr val="0070C0"/>
              </a:solidFill>
            </a:rPr>
            <a:t>BORRADOR People</a:t>
          </a:r>
          <a:r>
            <a:rPr lang="es-MX" sz="1800" baseline="0">
              <a:solidFill>
                <a:srgbClr val="0070C0"/>
              </a:solidFill>
            </a:rPr>
            <a:t> Tax</a:t>
          </a:r>
          <a:endParaRPr lang="es-MX" sz="1800">
            <a:solidFill>
              <a:srgbClr val="0070C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Leonardo Varón Garcia" id="{E095F83B-46BA-49DD-B93D-DAFE60BB7BA2}" userId="cce4ffc9b012376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97" dT="2021-06-19T16:20:48.11" personId="{E095F83B-46BA-49DD-B93D-DAFE60BB7BA2}" id="{4507CAEC-36EE-40A3-AC18-9A42526F1A14}">
    <text>Sin limite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6"/>
  <sheetViews>
    <sheetView showGridLines="0" topLeftCell="A21" zoomScale="170" zoomScaleNormal="170" workbookViewId="0">
      <selection activeCell="A27" sqref="A27"/>
    </sheetView>
  </sheetViews>
  <sheetFormatPr baseColWidth="10" defaultRowHeight="12.75" x14ac:dyDescent="0.2"/>
  <cols>
    <col min="1" max="1" width="38.85546875" style="5" customWidth="1"/>
    <col min="2" max="2" width="16.85546875" style="5" customWidth="1"/>
    <col min="3" max="3" width="12.42578125" style="5" customWidth="1"/>
    <col min="4" max="4" width="17.42578125" style="5" customWidth="1"/>
    <col min="5" max="5" width="13.7109375" style="5" customWidth="1"/>
    <col min="6" max="6" width="14" style="5" customWidth="1"/>
    <col min="7" max="7" width="14.140625" style="5" customWidth="1"/>
    <col min="8" max="9" width="11.42578125" style="5"/>
    <col min="10" max="10" width="13" style="5" customWidth="1"/>
    <col min="11" max="16384" width="11.42578125" style="5"/>
  </cols>
  <sheetData>
    <row r="1" spans="1:11" x14ac:dyDescent="0.2">
      <c r="A1" s="571" t="s">
        <v>207</v>
      </c>
      <c r="B1" s="571"/>
      <c r="C1" s="571"/>
      <c r="D1" s="571"/>
      <c r="E1" s="571"/>
    </row>
    <row r="3" spans="1:11" ht="38.25" x14ac:dyDescent="0.2">
      <c r="A3" s="242" t="s">
        <v>210</v>
      </c>
      <c r="B3" s="242" t="s">
        <v>48</v>
      </c>
      <c r="C3" s="242" t="s">
        <v>209</v>
      </c>
      <c r="D3" s="242" t="s">
        <v>213</v>
      </c>
      <c r="E3" s="242" t="s">
        <v>212</v>
      </c>
      <c r="F3" s="242" t="s">
        <v>63</v>
      </c>
      <c r="G3" s="242" t="s">
        <v>76</v>
      </c>
    </row>
    <row r="4" spans="1:11" x14ac:dyDescent="0.2">
      <c r="A4" s="11" t="s">
        <v>208</v>
      </c>
      <c r="B4" s="11"/>
      <c r="C4" s="253"/>
      <c r="D4" s="253"/>
      <c r="E4" s="253"/>
      <c r="F4" s="253"/>
      <c r="G4" s="253">
        <v>28500000</v>
      </c>
    </row>
    <row r="5" spans="1:11" x14ac:dyDescent="0.2">
      <c r="A5" s="11" t="s">
        <v>286</v>
      </c>
      <c r="B5" s="12" t="s">
        <v>60</v>
      </c>
      <c r="C5" s="253"/>
      <c r="D5" s="253"/>
      <c r="E5" s="253">
        <v>211546876</v>
      </c>
      <c r="F5" s="253">
        <v>0</v>
      </c>
      <c r="G5" s="253">
        <f>+E5+F5</f>
        <v>211546876</v>
      </c>
    </row>
    <row r="6" spans="1:11" x14ac:dyDescent="0.2">
      <c r="A6" s="11" t="s">
        <v>287</v>
      </c>
      <c r="B6" s="12" t="s">
        <v>61</v>
      </c>
      <c r="C6" s="253"/>
      <c r="D6" s="253"/>
      <c r="E6" s="253">
        <v>165432890</v>
      </c>
      <c r="F6" s="253">
        <v>0</v>
      </c>
      <c r="G6" s="253">
        <f>+E6+F6</f>
        <v>165432890</v>
      </c>
    </row>
    <row r="7" spans="1:11" x14ac:dyDescent="0.2">
      <c r="A7" s="11" t="s">
        <v>288</v>
      </c>
      <c r="B7" s="13" t="s">
        <v>62</v>
      </c>
      <c r="C7" s="253">
        <v>87654</v>
      </c>
      <c r="D7" s="254">
        <v>4810.2</v>
      </c>
      <c r="E7" s="253">
        <f>+C7*D7</f>
        <v>421633270.80000001</v>
      </c>
      <c r="F7" s="253">
        <f>+G7-E7</f>
        <v>-76226336.800000012</v>
      </c>
      <c r="G7" s="253">
        <f>+F12</f>
        <v>345406934</v>
      </c>
      <c r="H7" s="302" t="s">
        <v>720</v>
      </c>
    </row>
    <row r="8" spans="1:11" x14ac:dyDescent="0.2">
      <c r="A8" s="15" t="s">
        <v>220</v>
      </c>
      <c r="B8" s="16"/>
      <c r="C8" s="16"/>
      <c r="D8" s="17"/>
      <c r="E8" s="18"/>
      <c r="F8" s="255">
        <f>SUM(F4:F7)</f>
        <v>-76226336.800000012</v>
      </c>
      <c r="G8" s="18">
        <f>SUM(G4:G7)</f>
        <v>750886700</v>
      </c>
    </row>
    <row r="11" spans="1:11" ht="38.25" x14ac:dyDescent="0.2">
      <c r="A11" s="242" t="s">
        <v>289</v>
      </c>
      <c r="B11" s="242" t="s">
        <v>48</v>
      </c>
      <c r="C11" s="242" t="s">
        <v>209</v>
      </c>
      <c r="D11" s="242" t="s">
        <v>290</v>
      </c>
      <c r="E11" s="242" t="s">
        <v>291</v>
      </c>
      <c r="F11" s="242" t="s">
        <v>292</v>
      </c>
    </row>
    <row r="12" spans="1:11" x14ac:dyDescent="0.2">
      <c r="A12" s="11" t="s">
        <v>288</v>
      </c>
      <c r="B12" s="13" t="s">
        <v>62</v>
      </c>
      <c r="C12" s="563">
        <f>+C7</f>
        <v>87654</v>
      </c>
      <c r="D12" s="251">
        <f>+C12*D7</f>
        <v>421633270.80000001</v>
      </c>
      <c r="E12" s="11" t="s">
        <v>296</v>
      </c>
      <c r="F12" s="4">
        <f>+E18</f>
        <v>345406934</v>
      </c>
      <c r="G12" s="302" t="s">
        <v>721</v>
      </c>
      <c r="H12" s="2">
        <f>+D12-F12</f>
        <v>76226336.800000012</v>
      </c>
    </row>
    <row r="13" spans="1:11" x14ac:dyDescent="0.2">
      <c r="B13" s="252"/>
      <c r="C13" s="2"/>
      <c r="D13" s="170"/>
    </row>
    <row r="14" spans="1:11" ht="38.25" x14ac:dyDescent="0.2">
      <c r="A14" s="242" t="s">
        <v>294</v>
      </c>
      <c r="B14" s="242" t="s">
        <v>742</v>
      </c>
      <c r="C14" s="242" t="s">
        <v>295</v>
      </c>
      <c r="D14" s="242" t="s">
        <v>213</v>
      </c>
      <c r="E14" s="242" t="s">
        <v>292</v>
      </c>
      <c r="J14" s="565" t="s">
        <v>725</v>
      </c>
    </row>
    <row r="15" spans="1:11" x14ac:dyDescent="0.2">
      <c r="A15" s="313" t="s">
        <v>689</v>
      </c>
      <c r="B15" s="4">
        <v>65345</v>
      </c>
      <c r="C15" s="4">
        <v>65345</v>
      </c>
      <c r="D15" s="4">
        <v>4002</v>
      </c>
      <c r="E15" s="4">
        <f>+C15*D15</f>
        <v>261510690</v>
      </c>
      <c r="F15" s="170"/>
      <c r="H15" s="302" t="s">
        <v>722</v>
      </c>
      <c r="J15" s="564">
        <v>100000</v>
      </c>
      <c r="K15" s="302" t="s">
        <v>723</v>
      </c>
    </row>
    <row r="16" spans="1:11" x14ac:dyDescent="0.2">
      <c r="A16" s="313" t="s">
        <v>690</v>
      </c>
      <c r="B16" s="4">
        <v>13478</v>
      </c>
      <c r="C16" s="4">
        <v>13478</v>
      </c>
      <c r="D16" s="4">
        <v>3765</v>
      </c>
      <c r="E16" s="4">
        <f>+C16*D16</f>
        <v>50744670</v>
      </c>
      <c r="F16" s="170"/>
      <c r="I16" s="302" t="s">
        <v>726</v>
      </c>
      <c r="J16" s="564">
        <v>25000</v>
      </c>
      <c r="K16" s="302" t="s">
        <v>724</v>
      </c>
    </row>
    <row r="17" spans="1:10" x14ac:dyDescent="0.2">
      <c r="A17" s="313" t="s">
        <v>741</v>
      </c>
      <c r="B17" s="4">
        <v>76543</v>
      </c>
      <c r="C17" s="4">
        <f>+C12-C15-C16</f>
        <v>8831</v>
      </c>
      <c r="D17" s="4">
        <v>3754</v>
      </c>
      <c r="E17" s="4">
        <f>+C17*D17</f>
        <v>33151574</v>
      </c>
      <c r="F17" s="170"/>
      <c r="I17" s="302" t="s">
        <v>376</v>
      </c>
      <c r="J17" s="564">
        <f>+J15+J16</f>
        <v>125000</v>
      </c>
    </row>
    <row r="18" spans="1:10" x14ac:dyDescent="0.2">
      <c r="A18" s="8" t="s">
        <v>135</v>
      </c>
      <c r="B18" s="50">
        <f>SUM(B15:B17)</f>
        <v>155366</v>
      </c>
      <c r="C18" s="50">
        <f>SUM(C15:C17)</f>
        <v>87654</v>
      </c>
      <c r="D18" s="50"/>
      <c r="E18" s="50">
        <f>SUM(E15:E17)</f>
        <v>345406934</v>
      </c>
      <c r="F18" s="170"/>
      <c r="J18" s="564"/>
    </row>
    <row r="19" spans="1:10" x14ac:dyDescent="0.2">
      <c r="J19" s="564"/>
    </row>
    <row r="20" spans="1:10" x14ac:dyDescent="0.2">
      <c r="A20" s="302" t="s">
        <v>743</v>
      </c>
    </row>
    <row r="21" spans="1:10" x14ac:dyDescent="0.2">
      <c r="A21" s="5" t="s">
        <v>293</v>
      </c>
    </row>
    <row r="23" spans="1:10" x14ac:dyDescent="0.2">
      <c r="A23" s="302" t="s">
        <v>691</v>
      </c>
    </row>
    <row r="25" spans="1:10" x14ac:dyDescent="0.2">
      <c r="A25" s="302" t="s">
        <v>692</v>
      </c>
      <c r="C25" s="52">
        <v>23076879</v>
      </c>
      <c r="D25" s="302" t="s">
        <v>693</v>
      </c>
    </row>
    <row r="26" spans="1:10" x14ac:dyDescent="0.2">
      <c r="A26" s="302" t="s">
        <v>744</v>
      </c>
      <c r="C26" s="558">
        <f>+F7</f>
        <v>-76226336.800000012</v>
      </c>
      <c r="D26" s="302" t="s">
        <v>694</v>
      </c>
    </row>
    <row r="27" spans="1:10" x14ac:dyDescent="0.2">
      <c r="A27" s="302" t="s">
        <v>745</v>
      </c>
      <c r="C27" s="52">
        <v>18631875</v>
      </c>
      <c r="D27" s="302" t="s">
        <v>695</v>
      </c>
    </row>
    <row r="28" spans="1:10" x14ac:dyDescent="0.2">
      <c r="D28" s="302"/>
    </row>
    <row r="29" spans="1:10" x14ac:dyDescent="0.2">
      <c r="A29" s="6" t="s">
        <v>696</v>
      </c>
      <c r="B29" s="6"/>
      <c r="C29" s="570">
        <f>SUM(C25:C28)</f>
        <v>-34517582.800000012</v>
      </c>
      <c r="D29" s="302"/>
    </row>
    <row r="30" spans="1:10" x14ac:dyDescent="0.2">
      <c r="D30" s="302"/>
    </row>
    <row r="35" spans="1:4" x14ac:dyDescent="0.2">
      <c r="A35" s="302"/>
      <c r="B35" s="302"/>
    </row>
    <row r="36" spans="1:4" x14ac:dyDescent="0.2">
      <c r="B36" s="302"/>
      <c r="C36" s="302"/>
      <c r="D36" s="302"/>
    </row>
  </sheetData>
  <mergeCells count="1">
    <mergeCell ref="A1:E1"/>
  </mergeCells>
  <phoneticPr fontId="9" type="noConversion"/>
  <pageMargins left="0.74803149606299213" right="0.74803149606299213" top="0.98425196850393704" bottom="0.98425196850393704" header="0" footer="0"/>
  <pageSetup scale="7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8"/>
  <sheetViews>
    <sheetView showGridLines="0" topLeftCell="A43" zoomScale="160" zoomScaleNormal="160" workbookViewId="0">
      <selection activeCell="E45" sqref="E45"/>
    </sheetView>
  </sheetViews>
  <sheetFormatPr baseColWidth="10" defaultRowHeight="12.75" x14ac:dyDescent="0.2"/>
  <cols>
    <col min="1" max="1" width="66.140625" style="5" customWidth="1"/>
    <col min="2" max="2" width="5.140625" style="5" customWidth="1"/>
    <col min="3" max="3" width="21.28515625" style="5" customWidth="1"/>
    <col min="4" max="4" width="14.7109375" style="22" customWidth="1"/>
    <col min="5" max="5" width="14.28515625" style="5" bestFit="1" customWidth="1"/>
    <col min="6" max="6" width="12.7109375" style="5" customWidth="1"/>
    <col min="7" max="7" width="14.7109375" style="5" customWidth="1"/>
    <col min="8" max="12" width="11.42578125" style="5"/>
    <col min="13" max="13" width="13.42578125" style="5" customWidth="1"/>
    <col min="14" max="16384" width="11.42578125" style="5"/>
  </cols>
  <sheetData>
    <row r="1" spans="1:15" x14ac:dyDescent="0.2">
      <c r="A1" s="571" t="s">
        <v>711</v>
      </c>
      <c r="B1" s="571"/>
      <c r="C1" s="571"/>
      <c r="D1" s="571"/>
    </row>
    <row r="3" spans="1:15" ht="12.75" customHeight="1" x14ac:dyDescent="0.2">
      <c r="A3" s="25" t="s">
        <v>48</v>
      </c>
      <c r="B3" s="25"/>
      <c r="C3" s="25" t="s">
        <v>95</v>
      </c>
      <c r="D3" s="25" t="s">
        <v>96</v>
      </c>
      <c r="H3" s="6"/>
    </row>
    <row r="4" spans="1:15" x14ac:dyDescent="0.2">
      <c r="A4" s="6" t="s">
        <v>658</v>
      </c>
      <c r="B4" s="6"/>
      <c r="C4" s="6"/>
      <c r="D4" s="6"/>
    </row>
    <row r="5" spans="1:15" x14ac:dyDescent="0.2">
      <c r="A5" s="302" t="s">
        <v>458</v>
      </c>
      <c r="C5" s="2">
        <v>60000000</v>
      </c>
      <c r="D5" s="311" t="s">
        <v>505</v>
      </c>
    </row>
    <row r="6" spans="1:15" x14ac:dyDescent="0.2">
      <c r="A6" s="302" t="s">
        <v>459</v>
      </c>
      <c r="C6" s="2">
        <f>+C5/12+C5/24</f>
        <v>7500000</v>
      </c>
      <c r="D6" s="311" t="s">
        <v>505</v>
      </c>
      <c r="J6" s="6"/>
    </row>
    <row r="7" spans="1:15" x14ac:dyDescent="0.2">
      <c r="A7" s="302" t="s">
        <v>746</v>
      </c>
      <c r="C7" s="2">
        <v>5000000</v>
      </c>
      <c r="D7" s="311" t="s">
        <v>505</v>
      </c>
    </row>
    <row r="8" spans="1:15" x14ac:dyDescent="0.2">
      <c r="A8" s="302" t="s">
        <v>747</v>
      </c>
      <c r="C8" s="2">
        <f>+C7*12%</f>
        <v>600000</v>
      </c>
      <c r="D8" s="311" t="s">
        <v>505</v>
      </c>
    </row>
    <row r="9" spans="1:15" x14ac:dyDescent="0.2">
      <c r="A9" s="23" t="s">
        <v>226</v>
      </c>
      <c r="B9" s="23"/>
      <c r="C9" s="24">
        <f>SUM(C5:C8)</f>
        <v>73100000</v>
      </c>
      <c r="D9" s="323" t="s">
        <v>55</v>
      </c>
    </row>
    <row r="10" spans="1:15" x14ac:dyDescent="0.2">
      <c r="A10" s="6"/>
      <c r="B10" s="6"/>
      <c r="C10" s="10"/>
      <c r="D10" s="7" t="s">
        <v>72</v>
      </c>
      <c r="J10" s="6"/>
    </row>
    <row r="11" spans="1:15" x14ac:dyDescent="0.2">
      <c r="A11" s="6" t="s">
        <v>79</v>
      </c>
      <c r="B11" s="6"/>
      <c r="C11" s="2"/>
      <c r="D11" s="7"/>
    </row>
    <row r="12" spans="1:15" x14ac:dyDescent="0.2">
      <c r="A12" s="5" t="s">
        <v>80</v>
      </c>
      <c r="C12" s="2">
        <f>+ROUND((C5*4%),-3)</f>
        <v>2400000</v>
      </c>
      <c r="D12" s="311" t="s">
        <v>505</v>
      </c>
    </row>
    <row r="13" spans="1:15" x14ac:dyDescent="0.2">
      <c r="A13" s="5" t="s">
        <v>81</v>
      </c>
      <c r="C13" s="2">
        <f>+ROUND((C5*4%),-3)</f>
        <v>2400000</v>
      </c>
      <c r="D13" s="311" t="s">
        <v>505</v>
      </c>
      <c r="M13" s="247"/>
      <c r="N13" s="247"/>
      <c r="O13" s="247"/>
    </row>
    <row r="14" spans="1:15" x14ac:dyDescent="0.2">
      <c r="A14" s="23" t="s">
        <v>83</v>
      </c>
      <c r="B14" s="23"/>
      <c r="C14" s="24">
        <f>+SUM(C12:C13)</f>
        <v>4800000</v>
      </c>
      <c r="D14" s="323" t="s">
        <v>460</v>
      </c>
      <c r="J14" s="302"/>
      <c r="M14" s="247"/>
      <c r="N14" s="247"/>
      <c r="O14" s="247"/>
    </row>
    <row r="15" spans="1:15" x14ac:dyDescent="0.2">
      <c r="C15" s="10"/>
      <c r="D15" s="7"/>
      <c r="J15" s="302"/>
      <c r="M15" s="247"/>
      <c r="N15" s="247"/>
      <c r="O15" s="247"/>
    </row>
    <row r="16" spans="1:15" x14ac:dyDescent="0.2">
      <c r="A16" s="23" t="s">
        <v>84</v>
      </c>
      <c r="B16" s="23"/>
      <c r="C16" s="24">
        <f>+C9-C14</f>
        <v>68300000</v>
      </c>
      <c r="D16" s="7" t="s">
        <v>72</v>
      </c>
      <c r="M16" s="247"/>
      <c r="N16" s="247"/>
      <c r="O16" s="247"/>
    </row>
    <row r="17" spans="1:15" x14ac:dyDescent="0.2">
      <c r="C17" s="10"/>
      <c r="D17" s="7"/>
      <c r="M17" s="247"/>
      <c r="N17" s="247"/>
      <c r="O17" s="247"/>
    </row>
    <row r="18" spans="1:15" x14ac:dyDescent="0.2">
      <c r="A18" s="23" t="s">
        <v>86</v>
      </c>
      <c r="B18" s="23"/>
      <c r="C18" s="24">
        <f>+C16</f>
        <v>68300000</v>
      </c>
      <c r="D18" s="323" t="s">
        <v>461</v>
      </c>
    </row>
    <row r="19" spans="1:15" x14ac:dyDescent="0.2">
      <c r="C19" s="10"/>
      <c r="D19" s="7"/>
    </row>
    <row r="20" spans="1:15" x14ac:dyDescent="0.2">
      <c r="A20" s="6" t="s">
        <v>87</v>
      </c>
      <c r="B20" s="6"/>
      <c r="C20" s="2"/>
      <c r="D20" s="7"/>
      <c r="E20" s="594" t="s">
        <v>132</v>
      </c>
      <c r="F20" s="594"/>
      <c r="G20" s="594"/>
    </row>
    <row r="21" spans="1:15" x14ac:dyDescent="0.2">
      <c r="A21" s="302" t="s">
        <v>88</v>
      </c>
      <c r="C21" s="2">
        <v>0</v>
      </c>
      <c r="D21" s="324" t="s">
        <v>229</v>
      </c>
      <c r="E21" s="11" t="s">
        <v>133</v>
      </c>
      <c r="F21" s="4">
        <f>+C23+C29</f>
        <v>21275000</v>
      </c>
      <c r="G21" s="49">
        <f>+F21/F23</f>
        <v>1</v>
      </c>
    </row>
    <row r="22" spans="1:15" x14ac:dyDescent="0.2">
      <c r="A22" s="302" t="s">
        <v>501</v>
      </c>
      <c r="C22" s="2">
        <v>0</v>
      </c>
      <c r="D22" s="324" t="s">
        <v>229</v>
      </c>
      <c r="E22" s="11" t="s">
        <v>134</v>
      </c>
      <c r="F22" s="4">
        <f>+C34+C39</f>
        <v>0</v>
      </c>
      <c r="G22" s="49">
        <f>+F22/F23</f>
        <v>0</v>
      </c>
    </row>
    <row r="23" spans="1:15" x14ac:dyDescent="0.2">
      <c r="A23" s="23" t="s">
        <v>464</v>
      </c>
      <c r="B23" s="23"/>
      <c r="C23" s="24">
        <f>SUM(C21:C22)</f>
        <v>0</v>
      </c>
      <c r="D23" s="324" t="s">
        <v>56</v>
      </c>
      <c r="E23" s="8" t="s">
        <v>135</v>
      </c>
      <c r="F23" s="50">
        <f>+F21+F22</f>
        <v>21275000</v>
      </c>
      <c r="G23" s="51">
        <f>+SUM(G21:G22)</f>
        <v>1</v>
      </c>
    </row>
    <row r="24" spans="1:15" x14ac:dyDescent="0.2">
      <c r="A24" s="6"/>
      <c r="B24" s="6"/>
      <c r="C24" s="2"/>
      <c r="D24" s="7"/>
    </row>
    <row r="25" spans="1:15" x14ac:dyDescent="0.2">
      <c r="A25" s="302" t="s">
        <v>284</v>
      </c>
      <c r="C25" s="2">
        <f>+C7</f>
        <v>5000000</v>
      </c>
      <c r="D25" s="324"/>
    </row>
    <row r="26" spans="1:15" x14ac:dyDescent="0.2">
      <c r="A26" s="302" t="s">
        <v>462</v>
      </c>
      <c r="C26" s="2">
        <f>+C8</f>
        <v>600000</v>
      </c>
      <c r="D26" s="324"/>
      <c r="I26" s="44"/>
    </row>
    <row r="27" spans="1:15" x14ac:dyDescent="0.2">
      <c r="A27" s="302" t="s">
        <v>470</v>
      </c>
      <c r="C27" s="2">
        <f>+C45</f>
        <v>15675000</v>
      </c>
      <c r="D27" s="324"/>
      <c r="I27" s="44"/>
    </row>
    <row r="28" spans="1:15" x14ac:dyDescent="0.2">
      <c r="A28" s="302" t="s">
        <v>500</v>
      </c>
      <c r="C28" s="2">
        <v>0</v>
      </c>
      <c r="D28" s="324" t="s">
        <v>72</v>
      </c>
      <c r="I28" s="44"/>
    </row>
    <row r="29" spans="1:15" x14ac:dyDescent="0.2">
      <c r="A29" s="23" t="s">
        <v>465</v>
      </c>
      <c r="B29" s="23"/>
      <c r="C29" s="24">
        <f>SUM(C25:C28)</f>
        <v>21275000</v>
      </c>
      <c r="D29" s="324" t="s">
        <v>94</v>
      </c>
      <c r="E29" s="2"/>
      <c r="I29" s="44"/>
    </row>
    <row r="30" spans="1:15" x14ac:dyDescent="0.2">
      <c r="A30" s="6"/>
      <c r="B30" s="6"/>
      <c r="C30" s="10"/>
      <c r="D30" s="324"/>
      <c r="I30" s="44"/>
    </row>
    <row r="31" spans="1:15" x14ac:dyDescent="0.2">
      <c r="A31" s="23" t="s">
        <v>467</v>
      </c>
      <c r="B31" s="23"/>
      <c r="C31" s="24">
        <f>+C29+C23</f>
        <v>21275000</v>
      </c>
      <c r="D31" s="324" t="s">
        <v>463</v>
      </c>
    </row>
    <row r="32" spans="1:15" x14ac:dyDescent="0.2">
      <c r="D32" s="5"/>
    </row>
    <row r="33" spans="1:9" x14ac:dyDescent="0.2">
      <c r="A33" s="302" t="s">
        <v>504</v>
      </c>
      <c r="C33" s="2">
        <v>0</v>
      </c>
      <c r="D33" s="324" t="s">
        <v>229</v>
      </c>
      <c r="F33" s="10"/>
      <c r="G33" s="10"/>
    </row>
    <row r="34" spans="1:9" x14ac:dyDescent="0.2">
      <c r="A34" s="23" t="s">
        <v>466</v>
      </c>
      <c r="B34" s="23"/>
      <c r="C34" s="24">
        <f>+C33</f>
        <v>0</v>
      </c>
      <c r="D34" s="324" t="s">
        <v>231</v>
      </c>
      <c r="F34" s="10"/>
      <c r="G34" s="10"/>
    </row>
    <row r="35" spans="1:9" x14ac:dyDescent="0.2">
      <c r="C35" s="2"/>
      <c r="D35" s="324"/>
      <c r="F35" s="10"/>
      <c r="G35" s="10"/>
    </row>
    <row r="36" spans="1:9" x14ac:dyDescent="0.2">
      <c r="A36" s="302" t="s">
        <v>502</v>
      </c>
      <c r="C36" s="2">
        <v>0</v>
      </c>
      <c r="D36" s="324" t="s">
        <v>229</v>
      </c>
      <c r="E36" s="167">
        <f>192*'22 Tarifas'!D7</f>
        <v>7296768</v>
      </c>
      <c r="H36" s="43"/>
      <c r="I36" s="43"/>
    </row>
    <row r="37" spans="1:9" x14ac:dyDescent="0.2">
      <c r="A37" s="5" t="s">
        <v>89</v>
      </c>
      <c r="C37" s="168">
        <f>+ROUND((IF((E37&gt;F37),F37,E37)),-3)*0</f>
        <v>0</v>
      </c>
      <c r="D37" s="311" t="s">
        <v>506</v>
      </c>
      <c r="E37" s="167">
        <f>+C9*10%</f>
        <v>7310000</v>
      </c>
      <c r="F37" s="169">
        <f>384*'22 Tarifas'!D7</f>
        <v>14593536</v>
      </c>
    </row>
    <row r="38" spans="1:9" x14ac:dyDescent="0.2">
      <c r="A38" s="5" t="s">
        <v>90</v>
      </c>
      <c r="C38" s="168">
        <f>+ROUND((E38*50%),-3)*0</f>
        <v>0</v>
      </c>
      <c r="D38" s="324"/>
      <c r="E38" s="7">
        <f>+C9*0.004</f>
        <v>292400</v>
      </c>
    </row>
    <row r="39" spans="1:9" x14ac:dyDescent="0.2">
      <c r="A39" s="23" t="s">
        <v>468</v>
      </c>
      <c r="B39" s="23"/>
      <c r="C39" s="24">
        <f>SUM(C36:C38)</f>
        <v>0</v>
      </c>
      <c r="D39" s="324" t="s">
        <v>232</v>
      </c>
      <c r="E39" s="7"/>
    </row>
    <row r="40" spans="1:9" x14ac:dyDescent="0.2">
      <c r="D40" s="5"/>
      <c r="E40" s="7"/>
    </row>
    <row r="41" spans="1:9" x14ac:dyDescent="0.2">
      <c r="A41" s="23" t="s">
        <v>469</v>
      </c>
      <c r="B41" s="23"/>
      <c r="C41" s="24">
        <f>+C39+C34</f>
        <v>0</v>
      </c>
      <c r="D41" s="324" t="s">
        <v>233</v>
      </c>
      <c r="E41" s="7"/>
    </row>
    <row r="42" spans="1:9" x14ac:dyDescent="0.2">
      <c r="D42" s="5"/>
      <c r="E42" s="7"/>
    </row>
    <row r="43" spans="1:9" x14ac:dyDescent="0.2">
      <c r="D43" s="5"/>
      <c r="E43" s="7"/>
    </row>
    <row r="44" spans="1:9" x14ac:dyDescent="0.2">
      <c r="A44" s="5" t="s">
        <v>91</v>
      </c>
      <c r="C44" s="2">
        <f>+C18-C23-C25-C26-C28-C34-C39</f>
        <v>62700000</v>
      </c>
      <c r="D44" s="311"/>
    </row>
    <row r="45" spans="1:9" x14ac:dyDescent="0.2">
      <c r="A45" s="23" t="s">
        <v>92</v>
      </c>
      <c r="B45" s="23"/>
      <c r="C45" s="24">
        <f>+ROUND((C44*0.25),-3)</f>
        <v>15675000</v>
      </c>
      <c r="D45" s="324"/>
      <c r="E45" s="167">
        <f>240*12*'22 Tarifas'!D7</f>
        <v>109451520</v>
      </c>
    </row>
    <row r="46" spans="1:9" x14ac:dyDescent="0.2">
      <c r="C46" s="2"/>
      <c r="D46" s="7"/>
    </row>
    <row r="47" spans="1:9" x14ac:dyDescent="0.2">
      <c r="A47" s="23" t="s">
        <v>503</v>
      </c>
      <c r="B47" s="23"/>
      <c r="C47" s="24">
        <f>+C41+C31</f>
        <v>21275000</v>
      </c>
      <c r="D47" s="324" t="s">
        <v>234</v>
      </c>
    </row>
    <row r="48" spans="1:9" x14ac:dyDescent="0.2">
      <c r="C48" s="2"/>
      <c r="D48" s="7"/>
    </row>
    <row r="49" spans="1:4" x14ac:dyDescent="0.2">
      <c r="A49" s="23" t="s">
        <v>472</v>
      </c>
      <c r="B49" s="23"/>
      <c r="C49" s="24">
        <f>+C18-C47</f>
        <v>47025000</v>
      </c>
      <c r="D49" s="324" t="s">
        <v>471</v>
      </c>
    </row>
    <row r="50" spans="1:4" x14ac:dyDescent="0.2">
      <c r="C50" s="2"/>
      <c r="D50" s="7"/>
    </row>
    <row r="51" spans="1:4" x14ac:dyDescent="0.2">
      <c r="C51" s="2"/>
      <c r="D51" s="7"/>
    </row>
    <row r="52" spans="1:4" x14ac:dyDescent="0.2">
      <c r="C52" s="2"/>
      <c r="D52" s="7"/>
    </row>
    <row r="53" spans="1:4" s="325" customFormat="1" x14ac:dyDescent="0.2">
      <c r="C53" s="326"/>
      <c r="D53" s="238"/>
    </row>
    <row r="54" spans="1:4" x14ac:dyDescent="0.2">
      <c r="C54" s="2"/>
      <c r="D54" s="7"/>
    </row>
    <row r="55" spans="1:4" x14ac:dyDescent="0.2">
      <c r="A55" s="6"/>
      <c r="B55" s="6"/>
      <c r="C55" s="10"/>
    </row>
    <row r="56" spans="1:4" x14ac:dyDescent="0.2">
      <c r="C56" s="2"/>
    </row>
    <row r="57" spans="1:4" x14ac:dyDescent="0.2">
      <c r="C57" s="2"/>
    </row>
    <row r="58" spans="1:4" x14ac:dyDescent="0.2">
      <c r="A58" s="302"/>
    </row>
  </sheetData>
  <mergeCells count="2">
    <mergeCell ref="A1:D1"/>
    <mergeCell ref="E20:G20"/>
  </mergeCells>
  <phoneticPr fontId="9" type="noConversion"/>
  <pageMargins left="0.75" right="0.75" top="1" bottom="1" header="0" footer="0"/>
  <pageSetup scale="9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5"/>
  <sheetViews>
    <sheetView showGridLines="0" topLeftCell="A25" zoomScale="150" zoomScaleNormal="150" workbookViewId="0">
      <selection activeCell="B28" sqref="B28"/>
    </sheetView>
  </sheetViews>
  <sheetFormatPr baseColWidth="10" defaultRowHeight="12.75" x14ac:dyDescent="0.2"/>
  <cols>
    <col min="1" max="1" width="74" style="5" customWidth="1"/>
    <col min="2" max="2" width="13.7109375" style="5" customWidth="1"/>
    <col min="3" max="3" width="18.5703125" style="22" customWidth="1"/>
    <col min="4" max="4" width="11.42578125" style="5"/>
    <col min="5" max="5" width="16.140625" style="5" customWidth="1"/>
    <col min="6" max="16384" width="11.42578125" style="5"/>
  </cols>
  <sheetData>
    <row r="1" spans="1:5" x14ac:dyDescent="0.2">
      <c r="A1" s="595" t="s">
        <v>712</v>
      </c>
      <c r="B1" s="595"/>
      <c r="C1" s="595"/>
    </row>
    <row r="3" spans="1:5" ht="12.75" customHeight="1" x14ac:dyDescent="0.2">
      <c r="A3" s="25" t="s">
        <v>48</v>
      </c>
      <c r="B3" s="25" t="s">
        <v>95</v>
      </c>
      <c r="C3" s="25" t="s">
        <v>96</v>
      </c>
    </row>
    <row r="4" spans="1:5" x14ac:dyDescent="0.2">
      <c r="A4" s="6" t="s">
        <v>713</v>
      </c>
      <c r="B4" s="6"/>
      <c r="C4" s="6"/>
    </row>
    <row r="5" spans="1:5" x14ac:dyDescent="0.2">
      <c r="A5" s="5" t="s">
        <v>97</v>
      </c>
      <c r="B5" s="168">
        <f>+ROUND(('8 Prestamos'!G13),-3)</f>
        <v>16704000</v>
      </c>
      <c r="C5" s="324" t="s">
        <v>433</v>
      </c>
    </row>
    <row r="6" spans="1:5" x14ac:dyDescent="0.2">
      <c r="A6" s="5" t="s">
        <v>230</v>
      </c>
      <c r="B6" s="2">
        <v>6432000</v>
      </c>
      <c r="C6" s="302" t="s">
        <v>229</v>
      </c>
    </row>
    <row r="7" spans="1:5" x14ac:dyDescent="0.2">
      <c r="A7" s="302" t="s">
        <v>474</v>
      </c>
      <c r="B7" s="2">
        <v>12543098</v>
      </c>
      <c r="C7" s="302" t="s">
        <v>229</v>
      </c>
    </row>
    <row r="8" spans="1:5" x14ac:dyDescent="0.2">
      <c r="A8" s="302" t="s">
        <v>475</v>
      </c>
      <c r="B8" s="2">
        <f>+'6 Fiducia'!D12</f>
        <v>93600000</v>
      </c>
      <c r="C8" s="302" t="s">
        <v>507</v>
      </c>
    </row>
    <row r="9" spans="1:5" x14ac:dyDescent="0.2">
      <c r="A9" s="5" t="s">
        <v>99</v>
      </c>
      <c r="B9" s="2">
        <f>1500000*12</f>
        <v>18000000</v>
      </c>
      <c r="C9" s="2"/>
    </row>
    <row r="10" spans="1:5" x14ac:dyDescent="0.2">
      <c r="A10" s="23" t="s">
        <v>473</v>
      </c>
      <c r="B10" s="24">
        <f>SUM(B5:B9)</f>
        <v>147279098</v>
      </c>
      <c r="C10" s="323" t="s">
        <v>236</v>
      </c>
    </row>
    <row r="11" spans="1:5" x14ac:dyDescent="0.2">
      <c r="A11" s="6"/>
      <c r="B11" s="10"/>
      <c r="C11" s="7" t="s">
        <v>72</v>
      </c>
    </row>
    <row r="12" spans="1:5" x14ac:dyDescent="0.2">
      <c r="A12" s="6" t="s">
        <v>79</v>
      </c>
      <c r="B12" s="2"/>
      <c r="C12" s="7"/>
    </row>
    <row r="13" spans="1:5" x14ac:dyDescent="0.2">
      <c r="A13" s="5" t="s">
        <v>280</v>
      </c>
      <c r="B13" s="2">
        <f>+ROUND(((B8+B9+B7+B6)*20%*13%),-3)</f>
        <v>3395000</v>
      </c>
      <c r="C13" s="7"/>
    </row>
    <row r="14" spans="1:5" x14ac:dyDescent="0.2">
      <c r="A14" s="5" t="s">
        <v>82</v>
      </c>
      <c r="B14" s="2">
        <f>+ROUND(((B9+B6+B8+B7)*20%*16%),-3)</f>
        <v>4178000</v>
      </c>
      <c r="C14" s="7"/>
    </row>
    <row r="15" spans="1:5" x14ac:dyDescent="0.2">
      <c r="A15" s="302" t="s">
        <v>698</v>
      </c>
      <c r="B15" s="2">
        <f>+ROUND(((B6)*0.4423),-3)*0</f>
        <v>0</v>
      </c>
      <c r="C15" s="596" t="s">
        <v>508</v>
      </c>
      <c r="E15" s="2"/>
    </row>
    <row r="16" spans="1:5" x14ac:dyDescent="0.2">
      <c r="A16" s="302" t="s">
        <v>474</v>
      </c>
      <c r="B16" s="2">
        <f>+ROUND(((B7)*0.4423),-3)*0</f>
        <v>0</v>
      </c>
      <c r="C16" s="597"/>
      <c r="E16" s="2"/>
    </row>
    <row r="17" spans="1:7" x14ac:dyDescent="0.2">
      <c r="A17" s="23" t="s">
        <v>83</v>
      </c>
      <c r="B17" s="24">
        <f>+SUM(B13:B16)</f>
        <v>7573000</v>
      </c>
      <c r="C17" s="323" t="s">
        <v>479</v>
      </c>
    </row>
    <row r="18" spans="1:7" x14ac:dyDescent="0.2">
      <c r="B18" s="10"/>
      <c r="C18" s="7"/>
    </row>
    <row r="19" spans="1:7" x14ac:dyDescent="0.2">
      <c r="A19" s="23" t="s">
        <v>84</v>
      </c>
      <c r="B19" s="24">
        <f>+B10-B17</f>
        <v>139706098</v>
      </c>
      <c r="C19" s="7" t="s">
        <v>72</v>
      </c>
    </row>
    <row r="20" spans="1:7" x14ac:dyDescent="0.2">
      <c r="B20" s="10"/>
      <c r="C20" s="7"/>
    </row>
    <row r="21" spans="1:7" x14ac:dyDescent="0.2">
      <c r="A21" s="6" t="s">
        <v>477</v>
      </c>
      <c r="B21" s="10"/>
      <c r="C21" s="7"/>
    </row>
    <row r="22" spans="1:7" x14ac:dyDescent="0.2">
      <c r="A22" s="5" t="s">
        <v>100</v>
      </c>
      <c r="B22" s="2">
        <v>4850000</v>
      </c>
      <c r="C22" s="7"/>
    </row>
    <row r="23" spans="1:7" x14ac:dyDescent="0.2">
      <c r="A23" s="5" t="s">
        <v>476</v>
      </c>
      <c r="B23" s="2">
        <f>+ROUND((+'6 Fiducia'!D17+'6 Fiducia'!D16+'6 Fiducia'!D15+'6 Fiducia'!D14+'6 Fiducia'!D13),-3)</f>
        <v>91576000</v>
      </c>
      <c r="C23" s="7"/>
    </row>
    <row r="24" spans="1:7" x14ac:dyDescent="0.2">
      <c r="A24" s="5" t="s">
        <v>281</v>
      </c>
      <c r="B24" s="2">
        <v>0</v>
      </c>
      <c r="C24" s="311" t="s">
        <v>513</v>
      </c>
    </row>
    <row r="25" spans="1:7" x14ac:dyDescent="0.2">
      <c r="A25" s="5" t="s">
        <v>98</v>
      </c>
      <c r="B25" s="2">
        <v>6756000</v>
      </c>
      <c r="C25" s="7"/>
    </row>
    <row r="26" spans="1:7" x14ac:dyDescent="0.2">
      <c r="A26" s="23" t="s">
        <v>85</v>
      </c>
      <c r="B26" s="24">
        <f>+SUM(B22:B25)</f>
        <v>103182000</v>
      </c>
      <c r="C26" s="323" t="s">
        <v>480</v>
      </c>
    </row>
    <row r="27" spans="1:7" x14ac:dyDescent="0.2">
      <c r="B27" s="10"/>
      <c r="C27" s="7"/>
    </row>
    <row r="28" spans="1:7" x14ac:dyDescent="0.2">
      <c r="A28" s="23" t="s">
        <v>86</v>
      </c>
      <c r="B28" s="24">
        <f>+B19-B26</f>
        <v>36524098</v>
      </c>
      <c r="C28" s="323" t="s">
        <v>481</v>
      </c>
    </row>
    <row r="29" spans="1:7" x14ac:dyDescent="0.2">
      <c r="B29" s="10"/>
      <c r="C29" s="7"/>
      <c r="E29" s="594" t="s">
        <v>132</v>
      </c>
      <c r="F29" s="594"/>
      <c r="G29" s="594"/>
    </row>
    <row r="30" spans="1:7" x14ac:dyDescent="0.2">
      <c r="A30" s="6" t="s">
        <v>512</v>
      </c>
      <c r="B30" s="2"/>
      <c r="C30" s="7"/>
      <c r="E30" s="11" t="s">
        <v>133</v>
      </c>
      <c r="F30" s="4">
        <f>+B31</f>
        <v>0</v>
      </c>
      <c r="G30" s="49">
        <f>+F30/F32</f>
        <v>0</v>
      </c>
    </row>
    <row r="31" spans="1:7" x14ac:dyDescent="0.2">
      <c r="A31" s="5" t="s">
        <v>88</v>
      </c>
      <c r="B31" s="2">
        <v>0</v>
      </c>
      <c r="C31" s="324" t="s">
        <v>509</v>
      </c>
      <c r="E31" s="11" t="s">
        <v>134</v>
      </c>
      <c r="F31" s="4">
        <f>+B32</f>
        <v>295000</v>
      </c>
      <c r="G31" s="49">
        <f>+F31/F32</f>
        <v>1</v>
      </c>
    </row>
    <row r="32" spans="1:7" x14ac:dyDescent="0.2">
      <c r="A32" s="5" t="s">
        <v>90</v>
      </c>
      <c r="B32" s="168">
        <f>+ROUND((D32*50%),-3)</f>
        <v>295000</v>
      </c>
      <c r="C32" s="324" t="s">
        <v>510</v>
      </c>
      <c r="D32" s="7">
        <f>+B10*0.004</f>
        <v>589116.39199999999</v>
      </c>
      <c r="E32" s="8" t="s">
        <v>135</v>
      </c>
      <c r="F32" s="50">
        <f>+F30+F31</f>
        <v>295000</v>
      </c>
      <c r="G32" s="51">
        <f>+G30+G31</f>
        <v>1</v>
      </c>
    </row>
    <row r="33" spans="1:6" x14ac:dyDescent="0.2">
      <c r="A33" s="23" t="s">
        <v>511</v>
      </c>
      <c r="B33" s="24">
        <f>+SUM(B31:B32)</f>
        <v>295000</v>
      </c>
      <c r="C33" s="323" t="s">
        <v>482</v>
      </c>
    </row>
    <row r="34" spans="1:6" x14ac:dyDescent="0.2">
      <c r="B34" s="2"/>
      <c r="C34" s="7"/>
      <c r="F34" s="2" t="s">
        <v>72</v>
      </c>
    </row>
    <row r="35" spans="1:6" x14ac:dyDescent="0.2">
      <c r="A35" s="23" t="s">
        <v>478</v>
      </c>
      <c r="B35" s="24">
        <f>+B28-B33</f>
        <v>36229098</v>
      </c>
      <c r="C35" s="323" t="s">
        <v>483</v>
      </c>
    </row>
  </sheetData>
  <mergeCells count="3">
    <mergeCell ref="E29:G29"/>
    <mergeCell ref="A1:C1"/>
    <mergeCell ref="C15:C16"/>
  </mergeCells>
  <pageMargins left="0.70866141732283472" right="0.70866141732283472" top="0.74803149606299213" bottom="0.74803149606299213" header="0.31496062992125984" footer="0.31496062992125984"/>
  <pageSetup paperSize="9"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A65A-F054-4EC8-BC0C-36285F4CDAEF}">
  <dimension ref="A1:F22"/>
  <sheetViews>
    <sheetView showGridLines="0" topLeftCell="A10" zoomScale="150" zoomScaleNormal="150" workbookViewId="0">
      <selection activeCell="B19" sqref="B19"/>
    </sheetView>
  </sheetViews>
  <sheetFormatPr baseColWidth="10" defaultRowHeight="12.75" x14ac:dyDescent="0.2"/>
  <cols>
    <col min="1" max="1" width="74" style="5" customWidth="1"/>
    <col min="2" max="2" width="13.7109375" style="5" customWidth="1"/>
    <col min="3" max="3" width="18.5703125" style="22" customWidth="1"/>
    <col min="4" max="4" width="11.42578125" style="5"/>
    <col min="5" max="5" width="16.140625" style="5" customWidth="1"/>
    <col min="6" max="16384" width="11.42578125" style="5"/>
  </cols>
  <sheetData>
    <row r="1" spans="1:3" x14ac:dyDescent="0.2">
      <c r="A1" s="571" t="s">
        <v>714</v>
      </c>
      <c r="B1" s="571"/>
      <c r="C1" s="571"/>
    </row>
    <row r="3" spans="1:3" ht="12.75" customHeight="1" x14ac:dyDescent="0.2">
      <c r="A3" s="25" t="s">
        <v>48</v>
      </c>
      <c r="B3" s="25" t="s">
        <v>95</v>
      </c>
      <c r="C3" s="25" t="s">
        <v>96</v>
      </c>
    </row>
    <row r="4" spans="1:3" x14ac:dyDescent="0.2">
      <c r="A4" s="6" t="s">
        <v>514</v>
      </c>
      <c r="B4" s="6"/>
      <c r="C4" s="6"/>
    </row>
    <row r="5" spans="1:3" x14ac:dyDescent="0.2">
      <c r="A5" s="302" t="s">
        <v>487</v>
      </c>
      <c r="B5" s="2">
        <f>+'21 GO'!B24</f>
        <v>19069200</v>
      </c>
      <c r="C5" s="6"/>
    </row>
    <row r="6" spans="1:3" x14ac:dyDescent="0.2">
      <c r="A6" s="302" t="s">
        <v>485</v>
      </c>
      <c r="B6" s="2">
        <v>612654000</v>
      </c>
      <c r="C6" s="6"/>
    </row>
    <row r="7" spans="1:3" x14ac:dyDescent="0.2">
      <c r="A7" s="302" t="s">
        <v>696</v>
      </c>
      <c r="B7" s="2">
        <f>+'1 Efectivo'!C29</f>
        <v>-34517582.800000012</v>
      </c>
      <c r="C7" s="5"/>
    </row>
    <row r="8" spans="1:3" x14ac:dyDescent="0.2">
      <c r="A8" s="23" t="s">
        <v>484</v>
      </c>
      <c r="B8" s="24">
        <f>SUM(B5:B7)</f>
        <v>597205617.20000005</v>
      </c>
      <c r="C8" s="323" t="s">
        <v>250</v>
      </c>
    </row>
    <row r="9" spans="1:3" x14ac:dyDescent="0.2">
      <c r="A9" s="6"/>
      <c r="B9" s="10"/>
      <c r="C9" s="7" t="s">
        <v>72</v>
      </c>
    </row>
    <row r="10" spans="1:3" x14ac:dyDescent="0.2">
      <c r="B10" s="10"/>
      <c r="C10" s="7"/>
    </row>
    <row r="11" spans="1:3" x14ac:dyDescent="0.2">
      <c r="A11" s="6" t="s">
        <v>477</v>
      </c>
      <c r="B11" s="10"/>
      <c r="C11" s="7"/>
    </row>
    <row r="12" spans="1:3" x14ac:dyDescent="0.2">
      <c r="A12" s="302" t="s">
        <v>488</v>
      </c>
      <c r="B12" s="2">
        <f>+'9 Inventario'!B38</f>
        <v>149852000</v>
      </c>
      <c r="C12" s="7"/>
    </row>
    <row r="13" spans="1:3" x14ac:dyDescent="0.2">
      <c r="A13" s="302" t="s">
        <v>486</v>
      </c>
      <c r="B13" s="2">
        <v>118543000</v>
      </c>
      <c r="C13" s="7"/>
    </row>
    <row r="14" spans="1:3" x14ac:dyDescent="0.2">
      <c r="A14" s="302" t="s">
        <v>515</v>
      </c>
      <c r="B14" s="2">
        <f>+'11 PPYE y PI'!B42</f>
        <v>13820635.495678652</v>
      </c>
      <c r="C14" s="7"/>
    </row>
    <row r="15" spans="1:3" x14ac:dyDescent="0.2">
      <c r="A15" s="302" t="s">
        <v>516</v>
      </c>
      <c r="B15" s="2">
        <f>+'11 PPYE y PI'!B43</f>
        <v>16900000</v>
      </c>
      <c r="C15" s="7"/>
    </row>
    <row r="16" spans="1:3" x14ac:dyDescent="0.2">
      <c r="A16" s="302" t="s">
        <v>699</v>
      </c>
      <c r="B16" s="2">
        <v>9913000</v>
      </c>
      <c r="C16" s="7"/>
    </row>
    <row r="17" spans="1:6" x14ac:dyDescent="0.2">
      <c r="A17" s="23" t="s">
        <v>85</v>
      </c>
      <c r="B17" s="24">
        <f>+SUM(B12:B16)</f>
        <v>309028635.49567866</v>
      </c>
      <c r="C17" s="323" t="s">
        <v>58</v>
      </c>
    </row>
    <row r="18" spans="1:6" x14ac:dyDescent="0.2">
      <c r="B18" s="10"/>
      <c r="C18" s="7"/>
    </row>
    <row r="19" spans="1:6" x14ac:dyDescent="0.2">
      <c r="A19" s="23" t="s">
        <v>235</v>
      </c>
      <c r="B19" s="24">
        <f>+B8-B17</f>
        <v>288176981.70432138</v>
      </c>
      <c r="C19" s="323" t="s">
        <v>59</v>
      </c>
    </row>
    <row r="20" spans="1:6" x14ac:dyDescent="0.2">
      <c r="B20" s="10"/>
      <c r="C20" s="7"/>
    </row>
    <row r="21" spans="1:6" x14ac:dyDescent="0.2">
      <c r="F21" s="2" t="s">
        <v>72</v>
      </c>
    </row>
    <row r="22" spans="1:6" x14ac:dyDescent="0.2">
      <c r="B22" s="2"/>
      <c r="C22" s="324"/>
    </row>
  </sheetData>
  <mergeCells count="1">
    <mergeCell ref="A1:C1"/>
  </mergeCells>
  <pageMargins left="0.70866141732283472" right="0.70866141732283472" top="0.74803149606299213" bottom="0.74803149606299213" header="0.31496062992125984" footer="0.31496062992125984"/>
  <pageSetup paperSize="9" scale="9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12F0D-5516-4B61-9A01-DE385E8F3207}">
  <dimension ref="A1:F32"/>
  <sheetViews>
    <sheetView showGridLines="0" topLeftCell="A22" zoomScale="160" zoomScaleNormal="160" workbookViewId="0">
      <selection activeCell="B27" sqref="B27"/>
    </sheetView>
  </sheetViews>
  <sheetFormatPr baseColWidth="10" defaultRowHeight="12.75" x14ac:dyDescent="0.2"/>
  <cols>
    <col min="1" max="1" width="74" style="5" customWidth="1"/>
    <col min="2" max="2" width="13.7109375" style="5" customWidth="1"/>
    <col min="3" max="3" width="18.5703125" style="22" customWidth="1"/>
    <col min="4" max="4" width="11.42578125" style="5"/>
    <col min="5" max="5" width="16.140625" style="5" customWidth="1"/>
    <col min="6" max="16384" width="11.42578125" style="5"/>
  </cols>
  <sheetData>
    <row r="1" spans="1:3" x14ac:dyDescent="0.2">
      <c r="A1" s="571" t="s">
        <v>715</v>
      </c>
      <c r="B1" s="571"/>
      <c r="C1" s="571"/>
    </row>
    <row r="3" spans="1:3" ht="12.75" customHeight="1" x14ac:dyDescent="0.2">
      <c r="A3" s="25" t="s">
        <v>48</v>
      </c>
      <c r="B3" s="25" t="s">
        <v>95</v>
      </c>
      <c r="C3" s="25" t="s">
        <v>96</v>
      </c>
    </row>
    <row r="4" spans="1:3" ht="12.75" customHeight="1" x14ac:dyDescent="0.2">
      <c r="A4" s="23" t="s">
        <v>517</v>
      </c>
      <c r="B4" s="24">
        <f>SUM(B5:B7)</f>
        <v>393001079.70432138</v>
      </c>
      <c r="C4" s="327" t="s">
        <v>489</v>
      </c>
    </row>
    <row r="5" spans="1:3" ht="12.75" customHeight="1" x14ac:dyDescent="0.2">
      <c r="A5" s="5" t="str">
        <f>+'15 CG RT'!A1</f>
        <v>Anexo 14 Rentas de trabajo</v>
      </c>
      <c r="B5" s="2">
        <f>+'15 CG RT'!C49+'15 CG RT'!C47</f>
        <v>68300000</v>
      </c>
      <c r="C5" s="5"/>
    </row>
    <row r="6" spans="1:3" ht="12.75" customHeight="1" x14ac:dyDescent="0.2">
      <c r="A6" s="5" t="str">
        <f>+'16 CG RC'!A1</f>
        <v xml:space="preserve">Anexo 15 Cédula general - Rentas de Capital </v>
      </c>
      <c r="B6" s="2">
        <f>+'16 CG RC'!B35+'16 CG RC'!B33</f>
        <v>36524098</v>
      </c>
      <c r="C6" s="5"/>
    </row>
    <row r="7" spans="1:3" ht="12.75" customHeight="1" x14ac:dyDescent="0.2">
      <c r="A7" s="5" t="str">
        <f>+'17 CG RNL'!A1</f>
        <v>Anexo 16 Cédula general - Rentas no laborales</v>
      </c>
      <c r="B7" s="2">
        <f>+'17 CG RNL'!B19</f>
        <v>288176981.70432138</v>
      </c>
      <c r="C7" s="5"/>
    </row>
    <row r="8" spans="1:3" ht="12.75" customHeight="1" x14ac:dyDescent="0.2">
      <c r="C8" s="5"/>
    </row>
    <row r="9" spans="1:3" ht="12.75" customHeight="1" x14ac:dyDescent="0.2">
      <c r="A9" s="23" t="s">
        <v>240</v>
      </c>
      <c r="B9" s="24">
        <f>SUM(B10:B12)</f>
        <v>21570000</v>
      </c>
      <c r="C9" s="327" t="s">
        <v>490</v>
      </c>
    </row>
    <row r="10" spans="1:3" ht="12.75" customHeight="1" x14ac:dyDescent="0.2">
      <c r="A10" s="5" t="str">
        <f>+A5</f>
        <v>Anexo 14 Rentas de trabajo</v>
      </c>
      <c r="B10" s="2">
        <f>+'15 CG RT'!C47</f>
        <v>21275000</v>
      </c>
      <c r="C10" s="5"/>
    </row>
    <row r="11" spans="1:3" ht="12.75" customHeight="1" x14ac:dyDescent="0.2">
      <c r="A11" s="5" t="str">
        <f t="shared" ref="A11:A12" si="0">+A6</f>
        <v xml:space="preserve">Anexo 15 Cédula general - Rentas de Capital </v>
      </c>
      <c r="B11" s="2">
        <f>+'16 CG RC'!B33</f>
        <v>295000</v>
      </c>
      <c r="C11" s="5"/>
    </row>
    <row r="12" spans="1:3" ht="12.75" customHeight="1" x14ac:dyDescent="0.2">
      <c r="A12" s="5" t="str">
        <f t="shared" si="0"/>
        <v>Anexo 16 Cédula general - Rentas no laborales</v>
      </c>
      <c r="B12" s="5">
        <v>0</v>
      </c>
      <c r="C12" s="5"/>
    </row>
    <row r="13" spans="1:3" ht="12.75" customHeight="1" x14ac:dyDescent="0.2">
      <c r="C13" s="5"/>
    </row>
    <row r="14" spans="1:3" ht="12.75" customHeight="1" x14ac:dyDescent="0.2">
      <c r="A14" s="23" t="s">
        <v>518</v>
      </c>
      <c r="B14" s="24">
        <f>+B4-B9</f>
        <v>371431079.70432138</v>
      </c>
      <c r="C14" s="327" t="s">
        <v>526</v>
      </c>
    </row>
    <row r="15" spans="1:3" ht="12.75" customHeight="1" x14ac:dyDescent="0.2">
      <c r="C15" s="5"/>
    </row>
    <row r="16" spans="1:3" ht="12.75" customHeight="1" x14ac:dyDescent="0.2">
      <c r="A16" s="302"/>
      <c r="C16" s="5"/>
    </row>
    <row r="17" spans="1:6" ht="12.75" customHeight="1" x14ac:dyDescent="0.2">
      <c r="C17" s="5"/>
    </row>
    <row r="18" spans="1:6" ht="12.75" customHeight="1" x14ac:dyDescent="0.2">
      <c r="A18" s="302" t="str">
        <f>+A4</f>
        <v>Renta líquida de la cédula general</v>
      </c>
      <c r="B18" s="311">
        <f>+B4</f>
        <v>393001079.70432138</v>
      </c>
      <c r="C18" s="5"/>
    </row>
    <row r="19" spans="1:6" ht="12.75" customHeight="1" x14ac:dyDescent="0.2">
      <c r="A19" s="302" t="s">
        <v>679</v>
      </c>
      <c r="B19" s="311">
        <v>0</v>
      </c>
      <c r="C19" s="5"/>
    </row>
    <row r="20" spans="1:6" ht="12.75" customHeight="1" x14ac:dyDescent="0.2">
      <c r="A20" s="302" t="s">
        <v>680</v>
      </c>
      <c r="B20" s="311">
        <f>+'16 CG RC'!B26</f>
        <v>103182000</v>
      </c>
      <c r="C20" s="5"/>
    </row>
    <row r="21" spans="1:6" ht="12.75" customHeight="1" x14ac:dyDescent="0.2">
      <c r="A21" s="6" t="s">
        <v>661</v>
      </c>
      <c r="B21" s="10">
        <f>SUM(B18:B20)</f>
        <v>496183079.70432138</v>
      </c>
      <c r="C21" s="5"/>
    </row>
    <row r="22" spans="1:6" ht="12.75" customHeight="1" x14ac:dyDescent="0.2">
      <c r="A22" s="302"/>
      <c r="B22" s="302"/>
      <c r="C22" s="5"/>
    </row>
    <row r="23" spans="1:6" ht="12.75" customHeight="1" x14ac:dyDescent="0.2">
      <c r="A23" s="302" t="s">
        <v>681</v>
      </c>
      <c r="B23" s="557">
        <f>+B21*40%</f>
        <v>198473231.88172856</v>
      </c>
      <c r="C23" s="5"/>
    </row>
    <row r="24" spans="1:6" x14ac:dyDescent="0.2">
      <c r="A24" s="302" t="s">
        <v>682</v>
      </c>
      <c r="B24" s="311">
        <f>-B19</f>
        <v>0</v>
      </c>
      <c r="F24" s="2"/>
    </row>
    <row r="25" spans="1:6" x14ac:dyDescent="0.2">
      <c r="A25" s="6" t="s">
        <v>683</v>
      </c>
      <c r="B25" s="10">
        <f>+B23+B24</f>
        <v>198473231.88172856</v>
      </c>
    </row>
    <row r="26" spans="1:6" x14ac:dyDescent="0.2">
      <c r="A26" s="302"/>
      <c r="B26" s="302"/>
    </row>
    <row r="27" spans="1:6" x14ac:dyDescent="0.2">
      <c r="A27" s="302" t="s">
        <v>684</v>
      </c>
      <c r="B27" s="311">
        <f>+B9</f>
        <v>21570000</v>
      </c>
    </row>
    <row r="28" spans="1:6" x14ac:dyDescent="0.2">
      <c r="A28" s="302" t="s">
        <v>685</v>
      </c>
      <c r="B28" s="311">
        <f>-B24</f>
        <v>0</v>
      </c>
    </row>
    <row r="29" spans="1:6" x14ac:dyDescent="0.2">
      <c r="A29" s="6" t="s">
        <v>686</v>
      </c>
      <c r="B29" s="10">
        <f>+B27+B28</f>
        <v>21570000</v>
      </c>
    </row>
    <row r="30" spans="1:6" x14ac:dyDescent="0.2">
      <c r="A30" s="302" t="s">
        <v>687</v>
      </c>
      <c r="B30" s="311">
        <f>+IF((B25&gt;B29),0,(B29))</f>
        <v>0</v>
      </c>
    </row>
    <row r="31" spans="1:6" x14ac:dyDescent="0.2">
      <c r="A31" s="6" t="s">
        <v>688</v>
      </c>
      <c r="B31" s="10">
        <f>+B29-B30</f>
        <v>21570000</v>
      </c>
    </row>
    <row r="32" spans="1:6" x14ac:dyDescent="0.2">
      <c r="A32" s="302"/>
      <c r="B32" s="302"/>
    </row>
  </sheetData>
  <mergeCells count="1">
    <mergeCell ref="A1:C1"/>
  </mergeCells>
  <pageMargins left="0.70866141732283472" right="0.70866141732283472" top="0.74803149606299213" bottom="0.74803149606299213" header="0.31496062992125984" footer="0.31496062992125984"/>
  <pageSetup paperSize="9"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2"/>
  <sheetViews>
    <sheetView showGridLines="0" topLeftCell="A42" zoomScale="150" zoomScaleNormal="150" workbookViewId="0">
      <selection activeCell="C4" sqref="C4"/>
    </sheetView>
  </sheetViews>
  <sheetFormatPr baseColWidth="10" defaultRowHeight="12.75" x14ac:dyDescent="0.2"/>
  <cols>
    <col min="1" max="1" width="72.42578125" style="5" customWidth="1"/>
    <col min="2" max="2" width="15.85546875" style="5" customWidth="1"/>
    <col min="3" max="3" width="15.5703125" style="5" customWidth="1"/>
    <col min="4" max="4" width="15.140625" style="5" customWidth="1"/>
    <col min="5" max="5" width="12.85546875" style="5" bestFit="1" customWidth="1"/>
    <col min="6" max="16384" width="11.42578125" style="5"/>
  </cols>
  <sheetData>
    <row r="1" spans="1:4" x14ac:dyDescent="0.2">
      <c r="A1" s="587" t="s">
        <v>491</v>
      </c>
      <c r="B1" s="571"/>
      <c r="C1" s="571"/>
      <c r="D1" s="588"/>
    </row>
    <row r="4" spans="1:4" x14ac:dyDescent="0.2">
      <c r="A4" s="605" t="s">
        <v>102</v>
      </c>
      <c r="B4" s="605"/>
      <c r="C4" s="172">
        <v>5536379834</v>
      </c>
    </row>
    <row r="5" spans="1:4" x14ac:dyDescent="0.2">
      <c r="A5" s="605" t="s">
        <v>103</v>
      </c>
      <c r="B5" s="605"/>
      <c r="C5" s="172">
        <v>8252343871</v>
      </c>
    </row>
    <row r="6" spans="1:4" x14ac:dyDescent="0.2">
      <c r="A6" s="605" t="s">
        <v>282</v>
      </c>
      <c r="B6" s="605"/>
      <c r="C6" s="173">
        <f>IFERROR((C4/C5),0)</f>
        <v>0.67088574113539867</v>
      </c>
    </row>
    <row r="7" spans="1:4" x14ac:dyDescent="0.2">
      <c r="A7" s="3"/>
      <c r="B7" s="3"/>
      <c r="C7" s="3"/>
    </row>
    <row r="8" spans="1:4" x14ac:dyDescent="0.2">
      <c r="A8" s="316" t="s">
        <v>13</v>
      </c>
      <c r="B8" s="3"/>
      <c r="C8" s="3"/>
    </row>
    <row r="9" spans="1:4" x14ac:dyDescent="0.2">
      <c r="A9" s="3"/>
      <c r="B9" s="3"/>
      <c r="C9" s="3"/>
    </row>
    <row r="10" spans="1:4" ht="25.5" x14ac:dyDescent="0.2">
      <c r="A10" s="240" t="s">
        <v>527</v>
      </c>
      <c r="B10" s="174">
        <v>0</v>
      </c>
      <c r="C10" s="172">
        <f>+C6*B10</f>
        <v>0</v>
      </c>
    </row>
    <row r="11" spans="1:4" ht="25.5" x14ac:dyDescent="0.2">
      <c r="A11" s="240" t="s">
        <v>528</v>
      </c>
      <c r="B11" s="174"/>
      <c r="C11" s="172">
        <v>0</v>
      </c>
    </row>
    <row r="12" spans="1:4" ht="25.5" x14ac:dyDescent="0.2">
      <c r="A12" s="240" t="s">
        <v>529</v>
      </c>
      <c r="B12" s="174">
        <v>0</v>
      </c>
      <c r="C12" s="172">
        <f>IF((B12&gt;(19000*'22 Tarifas'!D6)),(19000*'22 Tarifas'!D6),B12)</f>
        <v>0</v>
      </c>
      <c r="D12" s="5" t="s">
        <v>106</v>
      </c>
    </row>
    <row r="13" spans="1:4" ht="25.5" x14ac:dyDescent="0.2">
      <c r="A13" s="240" t="s">
        <v>530</v>
      </c>
      <c r="B13" s="175">
        <f>+'11 PPYE y PI'!B5</f>
        <v>215654000</v>
      </c>
      <c r="C13" s="172">
        <f>IF((B13&gt;8000*'22 Tarifas'!D6),(8000*'22 Tarifas'!D6),B13)</f>
        <v>215654000</v>
      </c>
      <c r="D13" s="5" t="s">
        <v>106</v>
      </c>
    </row>
    <row r="14" spans="1:4" x14ac:dyDescent="0.2">
      <c r="A14" s="176" t="s">
        <v>104</v>
      </c>
      <c r="B14" s="172"/>
      <c r="C14" s="177">
        <f>+C4-C10-C11-C12-C13</f>
        <v>5320725834</v>
      </c>
    </row>
    <row r="15" spans="1:4" x14ac:dyDescent="0.2">
      <c r="A15" s="178" t="s">
        <v>16</v>
      </c>
      <c r="B15" s="173">
        <v>0</v>
      </c>
      <c r="C15" s="172">
        <f>IF(C14&lt;0,0,C14*B15)</f>
        <v>0</v>
      </c>
      <c r="D15" s="52"/>
    </row>
    <row r="16" spans="1:4" x14ac:dyDescent="0.2">
      <c r="A16" s="315" t="s">
        <v>449</v>
      </c>
      <c r="B16" s="178"/>
      <c r="C16" s="179">
        <v>12543000</v>
      </c>
    </row>
    <row r="17" spans="1:5" x14ac:dyDescent="0.2">
      <c r="A17" s="180" t="s">
        <v>105</v>
      </c>
      <c r="B17" s="180"/>
      <c r="C17" s="181">
        <f>+C15+C16</f>
        <v>12543000</v>
      </c>
    </row>
    <row r="18" spans="1:5" x14ac:dyDescent="0.2">
      <c r="A18" s="178" t="s">
        <v>237</v>
      </c>
      <c r="B18" s="178"/>
      <c r="C18" s="182">
        <f>+D31</f>
        <v>21275000</v>
      </c>
      <c r="D18" s="52"/>
    </row>
    <row r="19" spans="1:5" x14ac:dyDescent="0.2">
      <c r="A19" s="180" t="s">
        <v>16</v>
      </c>
      <c r="B19" s="180"/>
      <c r="C19" s="181">
        <f>IF(C18&gt;C17,0,(C17-C18))</f>
        <v>0</v>
      </c>
    </row>
    <row r="21" spans="1:5" x14ac:dyDescent="0.2">
      <c r="C21" s="170"/>
    </row>
    <row r="22" spans="1:5" x14ac:dyDescent="0.2">
      <c r="A22" s="26" t="s">
        <v>107</v>
      </c>
      <c r="B22" s="26"/>
      <c r="C22" s="171"/>
      <c r="D22" s="26"/>
    </row>
    <row r="23" spans="1:5" x14ac:dyDescent="0.2">
      <c r="A23" s="26"/>
      <c r="B23" s="26"/>
      <c r="C23" s="26"/>
      <c r="D23" s="26"/>
    </row>
    <row r="24" spans="1:5" x14ac:dyDescent="0.2">
      <c r="A24" s="606" t="s">
        <v>238</v>
      </c>
      <c r="B24" s="608" t="s">
        <v>531</v>
      </c>
      <c r="C24" s="598" t="s">
        <v>239</v>
      </c>
      <c r="D24" s="599"/>
    </row>
    <row r="25" spans="1:5" ht="51" x14ac:dyDescent="0.2">
      <c r="A25" s="607"/>
      <c r="B25" s="609"/>
      <c r="C25" s="333" t="s">
        <v>240</v>
      </c>
      <c r="D25" s="334" t="s">
        <v>241</v>
      </c>
    </row>
    <row r="26" spans="1:5" x14ac:dyDescent="0.2">
      <c r="A26" s="335" t="s">
        <v>242</v>
      </c>
      <c r="B26" s="336">
        <f>+'15 CG RT'!G21</f>
        <v>1</v>
      </c>
      <c r="C26" s="337">
        <f>+ROUND(('18 Limite CG'!B10),-3)</f>
        <v>21275000</v>
      </c>
      <c r="D26" s="338">
        <f>+C26*B26</f>
        <v>21275000</v>
      </c>
      <c r="E26" s="52"/>
    </row>
    <row r="27" spans="1:5" x14ac:dyDescent="0.2">
      <c r="A27" s="339" t="s">
        <v>243</v>
      </c>
      <c r="B27" s="340">
        <v>0</v>
      </c>
      <c r="C27" s="341">
        <v>0</v>
      </c>
      <c r="D27" s="342">
        <v>0</v>
      </c>
    </row>
    <row r="28" spans="1:5" x14ac:dyDescent="0.2">
      <c r="A28" s="339" t="s">
        <v>244</v>
      </c>
      <c r="B28" s="340">
        <f>+'16 CG RC'!G30</f>
        <v>0</v>
      </c>
      <c r="C28" s="341">
        <f>+ROUND((+'18 Limite CG'!B11),-3)</f>
        <v>295000</v>
      </c>
      <c r="D28" s="342">
        <f>+B28*C28</f>
        <v>0</v>
      </c>
    </row>
    <row r="29" spans="1:5" x14ac:dyDescent="0.2">
      <c r="A29" s="339" t="s">
        <v>246</v>
      </c>
      <c r="B29" s="340">
        <v>0</v>
      </c>
      <c r="C29" s="341">
        <f>+'18 Limite CG'!B12</f>
        <v>0</v>
      </c>
      <c r="D29" s="342">
        <v>0</v>
      </c>
    </row>
    <row r="30" spans="1:5" x14ac:dyDescent="0.2">
      <c r="A30" s="343" t="s">
        <v>245</v>
      </c>
      <c r="B30" s="344">
        <v>0</v>
      </c>
      <c r="C30" s="345">
        <v>0</v>
      </c>
      <c r="D30" s="346">
        <v>0</v>
      </c>
    </row>
    <row r="31" spans="1:5" x14ac:dyDescent="0.2">
      <c r="A31" s="347" t="s">
        <v>247</v>
      </c>
      <c r="B31" s="348"/>
      <c r="C31" s="349">
        <f>SUM(C26:C30)</f>
        <v>21570000</v>
      </c>
      <c r="D31" s="350">
        <f>SUM(D26:D30)</f>
        <v>21275000</v>
      </c>
    </row>
    <row r="32" spans="1:5" x14ac:dyDescent="0.2">
      <c r="A32" s="3"/>
      <c r="B32" s="3"/>
      <c r="C32" s="3"/>
      <c r="D32" s="26"/>
    </row>
    <row r="33" spans="1:4" x14ac:dyDescent="0.2">
      <c r="A33" s="3"/>
      <c r="B33" s="3"/>
      <c r="C33" s="3"/>
      <c r="D33" s="26"/>
    </row>
    <row r="34" spans="1:4" x14ac:dyDescent="0.2">
      <c r="B34" s="3"/>
      <c r="C34" s="3"/>
      <c r="D34" s="26"/>
    </row>
    <row r="35" spans="1:4" x14ac:dyDescent="0.2">
      <c r="A35" s="3"/>
      <c r="B35" s="3"/>
      <c r="C35" s="3"/>
      <c r="D35" s="26"/>
    </row>
    <row r="36" spans="1:4" x14ac:dyDescent="0.2">
      <c r="A36" s="610" t="s">
        <v>16</v>
      </c>
      <c r="B36" s="611"/>
      <c r="C36" s="351">
        <f>+C17</f>
        <v>12543000</v>
      </c>
      <c r="D36" s="26"/>
    </row>
    <row r="37" spans="1:4" x14ac:dyDescent="0.2">
      <c r="A37" s="600" t="s">
        <v>248</v>
      </c>
      <c r="B37" s="601"/>
      <c r="C37" s="352">
        <f>+D31</f>
        <v>21275000</v>
      </c>
      <c r="D37" s="26"/>
    </row>
    <row r="38" spans="1:4" x14ac:dyDescent="0.2">
      <c r="A38" s="602" t="s">
        <v>450</v>
      </c>
      <c r="B38" s="601"/>
      <c r="C38" s="352">
        <f>+IF((C36&gt;C37),(C36-C37),0)</f>
        <v>0</v>
      </c>
      <c r="D38" s="26"/>
    </row>
    <row r="39" spans="1:4" x14ac:dyDescent="0.2">
      <c r="A39" s="602" t="s">
        <v>451</v>
      </c>
      <c r="B39" s="601"/>
      <c r="C39" s="352">
        <f>+'18 Limite CG'!B14</f>
        <v>371431079.70432138</v>
      </c>
      <c r="D39" s="26"/>
    </row>
    <row r="40" spans="1:4" x14ac:dyDescent="0.2">
      <c r="A40" s="603" t="s">
        <v>249</v>
      </c>
      <c r="B40" s="604"/>
      <c r="C40" s="353">
        <f>MAX(C38:C39)</f>
        <v>371431079.70432138</v>
      </c>
      <c r="D40" s="26"/>
    </row>
    <row r="41" spans="1:4" x14ac:dyDescent="0.2">
      <c r="A41" s="3"/>
      <c r="B41" s="3"/>
      <c r="C41" s="3"/>
      <c r="D41" s="26"/>
    </row>
    <row r="43" spans="1:4" x14ac:dyDescent="0.2">
      <c r="A43" s="316" t="s">
        <v>452</v>
      </c>
    </row>
    <row r="45" spans="1:4" ht="24" x14ac:dyDescent="0.2">
      <c r="A45" s="317" t="s">
        <v>453</v>
      </c>
      <c r="B45" s="318" t="s">
        <v>32</v>
      </c>
      <c r="C45" s="318" t="s">
        <v>36</v>
      </c>
      <c r="D45" s="318" t="s">
        <v>39</v>
      </c>
    </row>
    <row r="46" spans="1:4" x14ac:dyDescent="0.2">
      <c r="A46" s="319" t="s">
        <v>454</v>
      </c>
      <c r="B46" s="330">
        <f>+'15 CG RT'!F21</f>
        <v>21275000</v>
      </c>
      <c r="C46" s="330">
        <f>+'16 CG RC'!F30</f>
        <v>0</v>
      </c>
      <c r="D46" s="320" t="s">
        <v>455</v>
      </c>
    </row>
    <row r="47" spans="1:4" x14ac:dyDescent="0.2">
      <c r="A47" s="319" t="s">
        <v>456</v>
      </c>
      <c r="B47" s="330">
        <f>+'15 CG RT'!F22</f>
        <v>0</v>
      </c>
      <c r="C47" s="330">
        <f>+'16 CG RC'!F31</f>
        <v>295000</v>
      </c>
      <c r="D47" s="320"/>
    </row>
    <row r="48" spans="1:4" x14ac:dyDescent="0.2">
      <c r="A48" s="321" t="s">
        <v>135</v>
      </c>
      <c r="B48" s="331">
        <f>SUM(B46:B47)</f>
        <v>21275000</v>
      </c>
      <c r="C48" s="331">
        <f>SUM(C46:C47)</f>
        <v>295000</v>
      </c>
      <c r="D48" s="322" t="s">
        <v>455</v>
      </c>
    </row>
    <row r="49" spans="1:4" x14ac:dyDescent="0.2">
      <c r="A49" s="319" t="s">
        <v>457</v>
      </c>
      <c r="B49" s="332">
        <f>+B46/B48</f>
        <v>1</v>
      </c>
      <c r="C49" s="332">
        <f>+C46/C48</f>
        <v>0</v>
      </c>
      <c r="D49" s="332"/>
    </row>
    <row r="53" spans="1:4" x14ac:dyDescent="0.2">
      <c r="B53" s="52"/>
    </row>
    <row r="54" spans="1:4" x14ac:dyDescent="0.2">
      <c r="B54" s="52"/>
    </row>
    <row r="55" spans="1:4" x14ac:dyDescent="0.2">
      <c r="B55" s="52"/>
    </row>
    <row r="56" spans="1:4" x14ac:dyDescent="0.2">
      <c r="B56" s="52"/>
    </row>
    <row r="57" spans="1:4" x14ac:dyDescent="0.2">
      <c r="B57" s="52"/>
    </row>
    <row r="58" spans="1:4" x14ac:dyDescent="0.2">
      <c r="B58" s="52"/>
    </row>
    <row r="59" spans="1:4" x14ac:dyDescent="0.2">
      <c r="B59" s="52"/>
    </row>
    <row r="60" spans="1:4" x14ac:dyDescent="0.2">
      <c r="B60" s="52"/>
    </row>
    <row r="61" spans="1:4" x14ac:dyDescent="0.2">
      <c r="B61" s="52"/>
    </row>
    <row r="62" spans="1:4" x14ac:dyDescent="0.2">
      <c r="A62" s="6"/>
      <c r="B62" s="45"/>
    </row>
  </sheetData>
  <mergeCells count="12">
    <mergeCell ref="A40:B40"/>
    <mergeCell ref="A4:B4"/>
    <mergeCell ref="A5:B5"/>
    <mergeCell ref="A6:B6"/>
    <mergeCell ref="A24:A25"/>
    <mergeCell ref="B24:B25"/>
    <mergeCell ref="A36:B36"/>
    <mergeCell ref="C24:D24"/>
    <mergeCell ref="A1:D1"/>
    <mergeCell ref="A37:B37"/>
    <mergeCell ref="A38:B38"/>
    <mergeCell ref="A39:B39"/>
  </mergeCells>
  <phoneticPr fontId="9" type="noConversion"/>
  <dataValidations xWindow="1043" yWindow="310" count="2">
    <dataValidation allowBlank="1" showInputMessage="1" showErrorMessage="1" prompt="Digite si tiene rentas generadas por los activos exeptuados" sqref="C16" xr:uid="{00000000-0002-0000-0900-000001000000}"/>
    <dataValidation allowBlank="1" showInputMessage="1" showErrorMessage="1" prompt="Digite el 100% del valor,  el aplicativo calculará el valor patrimonial neto." sqref="B10:B11" xr:uid="{00000000-0002-0000-0900-000002000000}"/>
  </dataValidations>
  <pageMargins left="0.75" right="0.75" top="1" bottom="1" header="0" footer="0"/>
  <pageSetup orientation="landscape" horizontalDpi="360" verticalDpi="36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8"/>
  <sheetViews>
    <sheetView showGridLines="0" topLeftCell="A20" zoomScale="150" zoomScaleNormal="150" workbookViewId="0">
      <selection activeCell="A9" sqref="A9"/>
    </sheetView>
  </sheetViews>
  <sheetFormatPr baseColWidth="10" defaultRowHeight="12.75" x14ac:dyDescent="0.2"/>
  <cols>
    <col min="1" max="1" width="74" style="5" customWidth="1"/>
    <col min="2" max="2" width="13.7109375" style="5" customWidth="1"/>
    <col min="3" max="3" width="22" style="22" customWidth="1"/>
    <col min="4" max="4" width="11.7109375" style="5" bestFit="1" customWidth="1"/>
    <col min="5" max="16384" width="11.42578125" style="5"/>
  </cols>
  <sheetData>
    <row r="1" spans="1:4" x14ac:dyDescent="0.2">
      <c r="A1" s="571" t="s">
        <v>716</v>
      </c>
      <c r="B1" s="571"/>
      <c r="C1" s="571"/>
    </row>
    <row r="3" spans="1:4" ht="12.75" customHeight="1" x14ac:dyDescent="0.2">
      <c r="A3" s="25" t="s">
        <v>48</v>
      </c>
      <c r="B3" s="25" t="s">
        <v>95</v>
      </c>
      <c r="C3" s="25" t="s">
        <v>96</v>
      </c>
    </row>
    <row r="4" spans="1:4" x14ac:dyDescent="0.2">
      <c r="A4" s="183" t="s">
        <v>519</v>
      </c>
      <c r="C4" s="5"/>
    </row>
    <row r="5" spans="1:4" x14ac:dyDescent="0.2">
      <c r="A5" s="189"/>
      <c r="C5" s="5"/>
    </row>
    <row r="6" spans="1:4" x14ac:dyDescent="0.2">
      <c r="A6" s="612" t="s">
        <v>495</v>
      </c>
      <c r="B6" s="612"/>
      <c r="C6" s="612"/>
    </row>
    <row r="7" spans="1:4" ht="13.5" thickBot="1" x14ac:dyDescent="0.25">
      <c r="A7" s="184" t="s">
        <v>101</v>
      </c>
      <c r="B7" s="192">
        <v>112087000</v>
      </c>
      <c r="C7" s="5"/>
    </row>
    <row r="8" spans="1:4" ht="13.5" thickBot="1" x14ac:dyDescent="0.25">
      <c r="A8" s="185" t="s">
        <v>532</v>
      </c>
      <c r="B8" s="193">
        <f>+B7</f>
        <v>112087000</v>
      </c>
      <c r="C8" s="186" t="s">
        <v>533</v>
      </c>
      <c r="D8" s="46"/>
    </row>
    <row r="9" spans="1:4" ht="13.5" thickBot="1" x14ac:dyDescent="0.25">
      <c r="C9" s="187" t="s">
        <v>72</v>
      </c>
    </row>
    <row r="10" spans="1:4" ht="13.5" thickBot="1" x14ac:dyDescent="0.25">
      <c r="A10" s="185" t="s">
        <v>535</v>
      </c>
      <c r="B10" s="194">
        <f>+B7</f>
        <v>112087000</v>
      </c>
      <c r="C10" s="186" t="s">
        <v>534</v>
      </c>
    </row>
    <row r="11" spans="1:4" ht="13.5" thickBot="1" x14ac:dyDescent="0.25">
      <c r="C11" s="190"/>
    </row>
    <row r="12" spans="1:4" ht="13.5" thickBot="1" x14ac:dyDescent="0.25">
      <c r="A12" s="185" t="s">
        <v>536</v>
      </c>
      <c r="B12" s="193">
        <f>+B8-B10</f>
        <v>0</v>
      </c>
      <c r="C12" s="186" t="s">
        <v>537</v>
      </c>
    </row>
    <row r="13" spans="1:4" x14ac:dyDescent="0.2">
      <c r="C13" s="190"/>
    </row>
    <row r="14" spans="1:4" x14ac:dyDescent="0.2">
      <c r="C14" s="190"/>
    </row>
    <row r="15" spans="1:4" x14ac:dyDescent="0.2">
      <c r="A15" s="612" t="s">
        <v>251</v>
      </c>
      <c r="B15" s="612"/>
      <c r="C15" s="612"/>
    </row>
    <row r="16" spans="1:4" ht="13.5" thickBot="1" x14ac:dyDescent="0.25">
      <c r="A16" s="184" t="s">
        <v>296</v>
      </c>
      <c r="B16" s="192">
        <v>123000000</v>
      </c>
      <c r="C16" s="5"/>
    </row>
    <row r="17" spans="1:3" ht="13.5" thickBot="1" x14ac:dyDescent="0.25">
      <c r="A17" s="185" t="s">
        <v>540</v>
      </c>
      <c r="B17" s="193">
        <f>+B16</f>
        <v>123000000</v>
      </c>
      <c r="C17" s="186" t="s">
        <v>538</v>
      </c>
    </row>
    <row r="18" spans="1:3" x14ac:dyDescent="0.2">
      <c r="C18" s="187" t="s">
        <v>72</v>
      </c>
    </row>
    <row r="19" spans="1:3" x14ac:dyDescent="0.2">
      <c r="C19" s="190"/>
    </row>
    <row r="20" spans="1:3" x14ac:dyDescent="0.2">
      <c r="A20" s="612" t="s">
        <v>252</v>
      </c>
      <c r="B20" s="612"/>
      <c r="C20" s="612"/>
    </row>
    <row r="21" spans="1:3" ht="13.5" thickBot="1" x14ac:dyDescent="0.25">
      <c r="A21" s="184" t="s">
        <v>296</v>
      </c>
      <c r="B21" s="192">
        <v>65432000</v>
      </c>
      <c r="C21" s="5"/>
    </row>
    <row r="22" spans="1:3" ht="13.5" thickBot="1" x14ac:dyDescent="0.25">
      <c r="A22" s="185" t="s">
        <v>541</v>
      </c>
      <c r="B22" s="193">
        <f>+B21</f>
        <v>65432000</v>
      </c>
      <c r="C22" s="186" t="s">
        <v>539</v>
      </c>
    </row>
    <row r="24" spans="1:3" x14ac:dyDescent="0.2">
      <c r="A24" s="189"/>
    </row>
    <row r="25" spans="1:3" x14ac:dyDescent="0.2">
      <c r="A25" s="189"/>
    </row>
    <row r="26" spans="1:3" s="325" customFormat="1" x14ac:dyDescent="0.2">
      <c r="A26" s="358"/>
      <c r="C26" s="359"/>
    </row>
    <row r="27" spans="1:3" x14ac:dyDescent="0.2">
      <c r="A27" s="189"/>
    </row>
    <row r="28" spans="1:3" x14ac:dyDescent="0.2">
      <c r="A28" s="189"/>
    </row>
  </sheetData>
  <mergeCells count="4">
    <mergeCell ref="A6:C6"/>
    <mergeCell ref="A15:C15"/>
    <mergeCell ref="A20:C20"/>
    <mergeCell ref="A1:C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5"/>
  <sheetViews>
    <sheetView showGridLines="0" topLeftCell="A29" zoomScale="160" zoomScaleNormal="160" workbookViewId="0">
      <selection activeCell="A21" sqref="A21"/>
    </sheetView>
  </sheetViews>
  <sheetFormatPr baseColWidth="10" defaultRowHeight="12" x14ac:dyDescent="0.2"/>
  <cols>
    <col min="1" max="1" width="35.140625" style="27" customWidth="1"/>
    <col min="2" max="2" width="14.7109375" style="27" customWidth="1"/>
    <col min="3" max="3" width="16" style="27" customWidth="1"/>
    <col min="4" max="4" width="16.140625" style="27" customWidth="1"/>
    <col min="5" max="5" width="14.85546875" style="27" customWidth="1"/>
    <col min="6" max="6" width="11.42578125" style="27"/>
    <col min="7" max="7" width="18.7109375" style="27" customWidth="1"/>
    <col min="8" max="8" width="12" style="27" bestFit="1" customWidth="1"/>
    <col min="9" max="10" width="11.5703125" style="27" bestFit="1" customWidth="1"/>
    <col min="11" max="16384" width="11.42578125" style="27"/>
  </cols>
  <sheetData>
    <row r="1" spans="1:10" x14ac:dyDescent="0.2">
      <c r="A1" s="614" t="s">
        <v>717</v>
      </c>
      <c r="B1" s="613"/>
      <c r="C1" s="613"/>
      <c r="D1" s="613"/>
      <c r="E1" s="613"/>
    </row>
    <row r="2" spans="1:10" x14ac:dyDescent="0.2">
      <c r="A2" s="30"/>
    </row>
    <row r="3" spans="1:10" x14ac:dyDescent="0.2">
      <c r="A3" s="615" t="s">
        <v>48</v>
      </c>
      <c r="B3" s="615" t="s">
        <v>542</v>
      </c>
      <c r="C3" s="615" t="s">
        <v>543</v>
      </c>
      <c r="D3" s="615" t="s">
        <v>49</v>
      </c>
      <c r="E3" s="615" t="s">
        <v>547</v>
      </c>
    </row>
    <row r="4" spans="1:10" ht="25.5" customHeight="1" x14ac:dyDescent="0.2">
      <c r="A4" s="615"/>
      <c r="B4" s="615"/>
      <c r="C4" s="615"/>
      <c r="D4" s="615"/>
      <c r="E4" s="615"/>
      <c r="H4" s="613" t="s">
        <v>496</v>
      </c>
      <c r="I4" s="613"/>
      <c r="J4" s="613"/>
    </row>
    <row r="5" spans="1:10" x14ac:dyDescent="0.2">
      <c r="A5" s="31" t="s">
        <v>700</v>
      </c>
      <c r="B5" s="32">
        <f>+B22-B24</f>
        <v>6930800</v>
      </c>
      <c r="C5" s="32">
        <f>+B21</f>
        <v>6930800</v>
      </c>
      <c r="D5" s="32">
        <v>0</v>
      </c>
      <c r="E5" s="33">
        <f>+B5-C5-D5</f>
        <v>0</v>
      </c>
      <c r="H5" s="248" t="e">
        <f>+'11 PPYE y PI'!#REF!</f>
        <v>#REF!</v>
      </c>
      <c r="I5" s="248"/>
      <c r="J5" s="248"/>
    </row>
    <row r="6" spans="1:10" x14ac:dyDescent="0.2">
      <c r="A6" s="31"/>
      <c r="B6" s="32"/>
      <c r="C6" s="32"/>
      <c r="D6" s="32"/>
      <c r="E6" s="33"/>
      <c r="H6" s="248" t="e">
        <f>+'11 PPYE y PI'!#REF!</f>
        <v>#REF!</v>
      </c>
      <c r="I6" s="248"/>
      <c r="J6" s="248"/>
    </row>
    <row r="7" spans="1:10" x14ac:dyDescent="0.2">
      <c r="A7" s="200" t="s">
        <v>50</v>
      </c>
      <c r="B7" s="36">
        <f>SUM(B5:B6)</f>
        <v>6930800</v>
      </c>
      <c r="C7" s="36">
        <f>SUM(C5:C6)</f>
        <v>6930800</v>
      </c>
      <c r="D7" s="36">
        <f t="shared" ref="D7:E7" si="0">SUM(D5:D6)</f>
        <v>0</v>
      </c>
      <c r="E7" s="36">
        <f t="shared" si="0"/>
        <v>0</v>
      </c>
    </row>
    <row r="8" spans="1:10" x14ac:dyDescent="0.2">
      <c r="B8" s="354" t="s">
        <v>544</v>
      </c>
      <c r="C8" s="354" t="s">
        <v>545</v>
      </c>
      <c r="D8" s="354" t="s">
        <v>546</v>
      </c>
      <c r="E8" s="354" t="s">
        <v>548</v>
      </c>
    </row>
    <row r="9" spans="1:10" x14ac:dyDescent="0.2">
      <c r="B9" s="28"/>
      <c r="C9" s="28"/>
      <c r="D9" s="28"/>
      <c r="E9" s="28"/>
    </row>
    <row r="10" spans="1:10" x14ac:dyDescent="0.2">
      <c r="B10" s="28"/>
      <c r="C10" s="28"/>
      <c r="D10" s="28"/>
      <c r="E10" s="28"/>
    </row>
    <row r="11" spans="1:10" x14ac:dyDescent="0.2">
      <c r="B11" s="28"/>
      <c r="C11" s="28"/>
      <c r="D11" s="28"/>
      <c r="E11" s="28"/>
    </row>
    <row r="12" spans="1:10" x14ac:dyDescent="0.2">
      <c r="A12" s="31" t="s">
        <v>108</v>
      </c>
      <c r="B12" s="31"/>
      <c r="C12" s="31"/>
      <c r="D12" s="31"/>
      <c r="E12" s="32">
        <v>0</v>
      </c>
    </row>
    <row r="13" spans="1:10" x14ac:dyDescent="0.2">
      <c r="A13" s="31" t="s">
        <v>283</v>
      </c>
      <c r="B13" s="31"/>
      <c r="C13" s="31"/>
      <c r="D13" s="31"/>
      <c r="E13" s="32">
        <f>+E7</f>
        <v>0</v>
      </c>
    </row>
    <row r="14" spans="1:10" x14ac:dyDescent="0.2">
      <c r="A14" s="34" t="s">
        <v>51</v>
      </c>
      <c r="B14" s="31"/>
      <c r="C14" s="31"/>
      <c r="D14" s="35"/>
      <c r="E14" s="36">
        <f>+E13*10%</f>
        <v>0</v>
      </c>
    </row>
    <row r="15" spans="1:10" x14ac:dyDescent="0.2">
      <c r="A15" s="34" t="s">
        <v>57</v>
      </c>
      <c r="B15" s="31"/>
      <c r="C15" s="31"/>
      <c r="D15" s="31"/>
      <c r="E15" s="36">
        <f>SUM(E14:E14)</f>
        <v>0</v>
      </c>
    </row>
    <row r="16" spans="1:10" x14ac:dyDescent="0.2">
      <c r="E16" s="355" t="s">
        <v>549</v>
      </c>
    </row>
    <row r="17" spans="1:5" x14ac:dyDescent="0.2">
      <c r="B17" s="248"/>
      <c r="E17" s="29"/>
    </row>
    <row r="18" spans="1:5" x14ac:dyDescent="0.2">
      <c r="B18" s="248"/>
      <c r="E18" s="29"/>
    </row>
    <row r="19" spans="1:5" x14ac:dyDescent="0.2">
      <c r="A19" s="31" t="s">
        <v>702</v>
      </c>
      <c r="B19" s="559">
        <v>34654000</v>
      </c>
    </row>
    <row r="20" spans="1:5" x14ac:dyDescent="0.2">
      <c r="A20" s="31" t="s">
        <v>401</v>
      </c>
      <c r="B20" s="559">
        <f>B19/5*4</f>
        <v>27723200</v>
      </c>
    </row>
    <row r="21" spans="1:5" x14ac:dyDescent="0.2">
      <c r="A21" s="34" t="s">
        <v>701</v>
      </c>
      <c r="B21" s="560">
        <f>+B19-B20</f>
        <v>6930800</v>
      </c>
    </row>
    <row r="22" spans="1:5" x14ac:dyDescent="0.2">
      <c r="A22" s="31" t="s">
        <v>703</v>
      </c>
      <c r="B22" s="559">
        <v>26000000</v>
      </c>
    </row>
    <row r="23" spans="1:5" x14ac:dyDescent="0.2">
      <c r="A23" s="34" t="s">
        <v>704</v>
      </c>
      <c r="B23" s="560">
        <f>+B22-B21</f>
        <v>19069200</v>
      </c>
    </row>
    <row r="24" spans="1:5" x14ac:dyDescent="0.2">
      <c r="A24" s="31" t="s">
        <v>705</v>
      </c>
      <c r="B24" s="561">
        <f>+IF((B20&gt;B23),(B23),B20)</f>
        <v>19069200</v>
      </c>
    </row>
    <row r="25" spans="1:5" x14ac:dyDescent="0.2">
      <c r="A25" s="34" t="s">
        <v>706</v>
      </c>
      <c r="B25" s="562">
        <f>+B23-B24</f>
        <v>0</v>
      </c>
    </row>
  </sheetData>
  <mergeCells count="7">
    <mergeCell ref="H4:J4"/>
    <mergeCell ref="A1:E1"/>
    <mergeCell ref="E3:E4"/>
    <mergeCell ref="A3:A4"/>
    <mergeCell ref="B3:B4"/>
    <mergeCell ref="C3:C4"/>
    <mergeCell ref="D3:D4"/>
  </mergeCells>
  <phoneticPr fontId="9" type="noConversion"/>
  <pageMargins left="0.75" right="0.75" top="1" bottom="1"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J92"/>
  <sheetViews>
    <sheetView showGridLines="0" zoomScale="190" zoomScaleNormal="190" workbookViewId="0">
      <selection activeCell="C6" sqref="C6"/>
    </sheetView>
  </sheetViews>
  <sheetFormatPr baseColWidth="10" defaultColWidth="11.5703125" defaultRowHeight="12.75" x14ac:dyDescent="0.2"/>
  <cols>
    <col min="1" max="1" width="33.7109375" style="5" bestFit="1" customWidth="1"/>
    <col min="2" max="3" width="15.28515625" style="5" customWidth="1"/>
    <col min="4" max="4" width="11.85546875" style="5" bestFit="1" customWidth="1"/>
    <col min="5" max="5" width="11.5703125" style="5"/>
    <col min="6" max="6" width="11.85546875" style="5" bestFit="1" customWidth="1"/>
    <col min="7" max="7" width="12.5703125" style="5" bestFit="1" customWidth="1"/>
    <col min="8" max="8" width="34.5703125" style="5" customWidth="1"/>
    <col min="9" max="9" width="15.42578125" style="5" customWidth="1"/>
    <col min="10" max="10" width="14.140625" style="5" customWidth="1"/>
    <col min="11" max="16384" width="11.5703125" style="5"/>
  </cols>
  <sheetData>
    <row r="3" spans="2:7" x14ac:dyDescent="0.2">
      <c r="B3" s="5" t="s">
        <v>227</v>
      </c>
    </row>
    <row r="5" spans="2:7" x14ac:dyDescent="0.2">
      <c r="B5" s="11" t="s">
        <v>228</v>
      </c>
      <c r="C5" s="313">
        <v>2020</v>
      </c>
      <c r="D5" s="556">
        <v>35607</v>
      </c>
      <c r="E5" s="14"/>
      <c r="F5" s="14">
        <v>0</v>
      </c>
      <c r="G5" s="14">
        <f>+D5*F5</f>
        <v>0</v>
      </c>
    </row>
    <row r="6" spans="2:7" x14ac:dyDescent="0.2">
      <c r="B6" s="11" t="s">
        <v>228</v>
      </c>
      <c r="C6" s="313">
        <v>2021</v>
      </c>
      <c r="D6" s="556">
        <v>36308</v>
      </c>
      <c r="E6" s="14"/>
      <c r="F6" s="14">
        <v>1</v>
      </c>
      <c r="G6" s="14">
        <f>+D6*F6</f>
        <v>36308</v>
      </c>
    </row>
    <row r="7" spans="2:7" x14ac:dyDescent="0.2">
      <c r="B7" s="11" t="s">
        <v>228</v>
      </c>
      <c r="C7" s="313">
        <v>2022</v>
      </c>
      <c r="D7" s="556">
        <v>38004</v>
      </c>
      <c r="E7" s="14"/>
      <c r="F7" s="14">
        <v>13500</v>
      </c>
      <c r="G7" s="14">
        <f>+D7*F7</f>
        <v>513054000</v>
      </c>
    </row>
    <row r="8" spans="2:7" x14ac:dyDescent="0.2">
      <c r="B8" s="11" t="s">
        <v>228</v>
      </c>
      <c r="C8" s="313">
        <v>2023</v>
      </c>
      <c r="D8" s="556">
        <v>42412</v>
      </c>
      <c r="E8" s="14"/>
      <c r="F8" s="14">
        <v>1</v>
      </c>
      <c r="G8" s="14">
        <f>+D8*F8</f>
        <v>42412</v>
      </c>
    </row>
    <row r="9" spans="2:7" x14ac:dyDescent="0.2">
      <c r="D9" s="52"/>
      <c r="E9" s="52"/>
      <c r="F9" s="52"/>
      <c r="G9" s="52"/>
    </row>
    <row r="10" spans="2:7" x14ac:dyDescent="0.2">
      <c r="D10" s="52"/>
      <c r="E10" s="52"/>
      <c r="F10" s="52"/>
      <c r="G10" s="52"/>
    </row>
    <row r="11" spans="2:7" x14ac:dyDescent="0.2">
      <c r="C11" s="201"/>
      <c r="D11" s="52"/>
      <c r="E11" s="52"/>
      <c r="F11" s="52"/>
      <c r="G11" s="52"/>
    </row>
    <row r="12" spans="2:7" x14ac:dyDescent="0.2">
      <c r="C12" s="201"/>
      <c r="D12" s="201"/>
      <c r="E12" s="52"/>
      <c r="F12" s="52"/>
      <c r="G12" s="52"/>
    </row>
    <row r="17" spans="2:10" x14ac:dyDescent="0.2">
      <c r="B17" s="619" t="s">
        <v>262</v>
      </c>
      <c r="C17" s="620"/>
      <c r="D17" s="621" t="s">
        <v>263</v>
      </c>
      <c r="E17" s="623" t="s">
        <v>264</v>
      </c>
      <c r="F17" s="623"/>
      <c r="G17" s="623"/>
      <c r="H17" s="623"/>
    </row>
    <row r="18" spans="2:10" x14ac:dyDescent="0.2">
      <c r="B18" s="202" t="s">
        <v>265</v>
      </c>
      <c r="C18" s="202" t="s">
        <v>266</v>
      </c>
      <c r="D18" s="622"/>
      <c r="E18" s="623"/>
      <c r="F18" s="623"/>
      <c r="G18" s="623"/>
      <c r="H18" s="623"/>
    </row>
    <row r="19" spans="2:10" x14ac:dyDescent="0.2">
      <c r="B19" s="207">
        <v>0</v>
      </c>
      <c r="C19" s="207">
        <v>1090</v>
      </c>
      <c r="D19" s="204">
        <v>0</v>
      </c>
      <c r="E19" s="617">
        <v>0</v>
      </c>
      <c r="F19" s="617"/>
      <c r="G19" s="617"/>
      <c r="H19" s="617"/>
    </row>
    <row r="20" spans="2:10" x14ac:dyDescent="0.2">
      <c r="B20" s="207">
        <v>1090</v>
      </c>
      <c r="C20" s="207">
        <v>1700</v>
      </c>
      <c r="D20" s="204">
        <v>0.19</v>
      </c>
      <c r="E20" s="617" t="s">
        <v>267</v>
      </c>
      <c r="F20" s="617"/>
      <c r="G20" s="617"/>
      <c r="H20" s="617"/>
    </row>
    <row r="21" spans="2:10" x14ac:dyDescent="0.2">
      <c r="B21" s="207">
        <v>1700</v>
      </c>
      <c r="C21" s="207">
        <v>4100</v>
      </c>
      <c r="D21" s="204">
        <v>0.28000000000000003</v>
      </c>
      <c r="E21" s="616" t="s">
        <v>268</v>
      </c>
      <c r="F21" s="616"/>
      <c r="G21" s="616"/>
      <c r="H21" s="616"/>
    </row>
    <row r="22" spans="2:10" x14ac:dyDescent="0.2">
      <c r="B22" s="207">
        <v>4100</v>
      </c>
      <c r="C22" s="207">
        <v>8670</v>
      </c>
      <c r="D22" s="204">
        <v>0.33</v>
      </c>
      <c r="E22" s="616" t="s">
        <v>269</v>
      </c>
      <c r="F22" s="616"/>
      <c r="G22" s="616"/>
      <c r="H22" s="616"/>
    </row>
    <row r="23" spans="2:10" x14ac:dyDescent="0.2">
      <c r="B23" s="207">
        <v>8670</v>
      </c>
      <c r="C23" s="207">
        <v>18970</v>
      </c>
      <c r="D23" s="204">
        <v>0.35</v>
      </c>
      <c r="E23" s="616" t="s">
        <v>270</v>
      </c>
      <c r="F23" s="616"/>
      <c r="G23" s="616"/>
      <c r="H23" s="616"/>
    </row>
    <row r="24" spans="2:10" x14ac:dyDescent="0.2">
      <c r="B24" s="207">
        <v>18970</v>
      </c>
      <c r="C24" s="207">
        <v>31000</v>
      </c>
      <c r="D24" s="204">
        <v>0.37</v>
      </c>
      <c r="E24" s="616" t="s">
        <v>271</v>
      </c>
      <c r="F24" s="616"/>
      <c r="G24" s="616"/>
      <c r="H24" s="616"/>
    </row>
    <row r="25" spans="2:10" x14ac:dyDescent="0.2">
      <c r="B25" s="207">
        <v>31000</v>
      </c>
      <c r="C25" s="207" t="s">
        <v>272</v>
      </c>
      <c r="D25" s="204">
        <v>0.39</v>
      </c>
      <c r="E25" s="616" t="s">
        <v>273</v>
      </c>
      <c r="F25" s="616"/>
      <c r="G25" s="616"/>
      <c r="H25" s="616"/>
    </row>
    <row r="26" spans="2:10" x14ac:dyDescent="0.2">
      <c r="B26" s="206"/>
      <c r="C26" s="206"/>
      <c r="D26" s="206"/>
      <c r="E26" s="205"/>
      <c r="F26" s="205"/>
      <c r="G26" s="205"/>
      <c r="H26" s="205"/>
    </row>
    <row r="27" spans="2:10" x14ac:dyDescent="0.2">
      <c r="B27" s="618"/>
      <c r="C27" s="618"/>
      <c r="D27" s="618"/>
      <c r="E27" s="618"/>
      <c r="F27" s="618"/>
      <c r="G27" s="618"/>
      <c r="H27" s="205"/>
    </row>
    <row r="28" spans="2:10" x14ac:dyDescent="0.2">
      <c r="B28" s="619" t="s">
        <v>274</v>
      </c>
      <c r="C28" s="620"/>
      <c r="D28" s="621" t="s">
        <v>263</v>
      </c>
      <c r="E28" s="623" t="s">
        <v>264</v>
      </c>
      <c r="F28" s="623"/>
      <c r="G28" s="623"/>
      <c r="H28" s="623"/>
    </row>
    <row r="29" spans="2:10" x14ac:dyDescent="0.2">
      <c r="B29" s="202" t="s">
        <v>265</v>
      </c>
      <c r="C29" s="202" t="s">
        <v>266</v>
      </c>
      <c r="D29" s="622"/>
      <c r="E29" s="623"/>
      <c r="F29" s="623"/>
      <c r="G29" s="623"/>
      <c r="H29" s="623"/>
    </row>
    <row r="30" spans="2:10" x14ac:dyDescent="0.2">
      <c r="B30" s="203">
        <f>+B19*$D$7</f>
        <v>0</v>
      </c>
      <c r="C30" s="203">
        <f>+C19*$D$7</f>
        <v>41424360</v>
      </c>
      <c r="D30" s="204">
        <v>0</v>
      </c>
      <c r="E30" s="617">
        <v>0</v>
      </c>
      <c r="F30" s="617"/>
      <c r="G30" s="617"/>
      <c r="H30" s="617"/>
      <c r="I30" s="52">
        <f>+IF(($C$39&gt;C30),0,($C$39*D30))</f>
        <v>0</v>
      </c>
      <c r="J30" s="46">
        <f t="shared" ref="J30" si="0">+I30*$D$7</f>
        <v>0</v>
      </c>
    </row>
    <row r="31" spans="2:10" x14ac:dyDescent="0.2">
      <c r="B31" s="203">
        <f t="shared" ref="B31:C31" si="1">+B20*$D$7</f>
        <v>41424360</v>
      </c>
      <c r="C31" s="203">
        <f t="shared" si="1"/>
        <v>64606800</v>
      </c>
      <c r="D31" s="204">
        <v>0.19</v>
      </c>
      <c r="E31" s="617" t="s">
        <v>267</v>
      </c>
      <c r="F31" s="617"/>
      <c r="G31" s="617"/>
      <c r="H31" s="617"/>
      <c r="I31" s="52">
        <f>+IF(AND(($C$39&gt;B31),($C$39&lt;C31)),(($C$39/$D$7-C19)*D31),0)</f>
        <v>0</v>
      </c>
      <c r="J31" s="46">
        <f>+I31*$D$7</f>
        <v>0</v>
      </c>
    </row>
    <row r="32" spans="2:10" x14ac:dyDescent="0.2">
      <c r="B32" s="203">
        <f t="shared" ref="B32:C32" si="2">+B21*$D$7</f>
        <v>64606800</v>
      </c>
      <c r="C32" s="203">
        <f t="shared" si="2"/>
        <v>155816400</v>
      </c>
      <c r="D32" s="204">
        <v>0.28000000000000003</v>
      </c>
      <c r="E32" s="616" t="s">
        <v>268</v>
      </c>
      <c r="F32" s="616"/>
      <c r="G32" s="616"/>
      <c r="H32" s="616"/>
      <c r="I32" s="52">
        <f>+IF(AND(($C$39&gt;B32),($C$39&lt;C32)),(($C$39/$D$7-C20)*D32+116),0)</f>
        <v>0</v>
      </c>
      <c r="J32" s="46">
        <f>+I32*$D$7</f>
        <v>0</v>
      </c>
    </row>
    <row r="33" spans="1:10" x14ac:dyDescent="0.2">
      <c r="B33" s="203">
        <f t="shared" ref="B33:C33" si="3">+B22*$D$7</f>
        <v>155816400</v>
      </c>
      <c r="C33" s="203">
        <f t="shared" si="3"/>
        <v>329494680</v>
      </c>
      <c r="D33" s="204">
        <v>0.33</v>
      </c>
      <c r="E33" s="616" t="s">
        <v>269</v>
      </c>
      <c r="F33" s="616"/>
      <c r="G33" s="616"/>
      <c r="H33" s="616"/>
      <c r="I33" s="52">
        <f>+IF(AND(($C$39&gt;B33),($C$39&lt;C33)),(($C$39/$D$7-C21)*D33+788),0)</f>
        <v>0</v>
      </c>
      <c r="J33" s="46">
        <f t="shared" ref="J33:J36" si="4">+I33*$D$7</f>
        <v>0</v>
      </c>
    </row>
    <row r="34" spans="1:10" x14ac:dyDescent="0.2">
      <c r="B34" s="203">
        <f t="shared" ref="B34:C34" si="5">+B23*$D$7</f>
        <v>329494680</v>
      </c>
      <c r="C34" s="203">
        <f t="shared" si="5"/>
        <v>720935880</v>
      </c>
      <c r="D34" s="204">
        <v>0.35</v>
      </c>
      <c r="E34" s="616" t="s">
        <v>270</v>
      </c>
      <c r="F34" s="616"/>
      <c r="G34" s="616"/>
      <c r="H34" s="616"/>
      <c r="I34" s="52">
        <f>+IF(AND(($C$39&gt;B34),($C$39&lt;C34)),(($C$39/$D$7-C22)*D34+2296),0)</f>
        <v>2682.2156587862455</v>
      </c>
      <c r="J34" s="46">
        <f t="shared" si="4"/>
        <v>101934923.89651248</v>
      </c>
    </row>
    <row r="35" spans="1:10" x14ac:dyDescent="0.2">
      <c r="B35" s="203">
        <f t="shared" ref="B35:C35" si="6">+B24*$D$7</f>
        <v>720935880</v>
      </c>
      <c r="C35" s="203">
        <f t="shared" si="6"/>
        <v>1178124000</v>
      </c>
      <c r="D35" s="204">
        <v>0.37</v>
      </c>
      <c r="E35" s="616" t="s">
        <v>271</v>
      </c>
      <c r="F35" s="616"/>
      <c r="G35" s="616"/>
      <c r="H35" s="616"/>
      <c r="I35" s="52">
        <f>+IF(AND(($C$39&gt;B35),($C$39&lt;C35)),(($C$39/$D$7-C23)*D35+5901),0)</f>
        <v>0</v>
      </c>
      <c r="J35" s="46">
        <f t="shared" si="4"/>
        <v>0</v>
      </c>
    </row>
    <row r="36" spans="1:10" x14ac:dyDescent="0.2">
      <c r="B36" s="203">
        <f t="shared" ref="B36" si="7">+B25*$D$7</f>
        <v>1178124000</v>
      </c>
      <c r="C36" s="203">
        <v>99999999999</v>
      </c>
      <c r="D36" s="204">
        <v>0.39</v>
      </c>
      <c r="E36" s="616" t="s">
        <v>273</v>
      </c>
      <c r="F36" s="616"/>
      <c r="G36" s="616"/>
      <c r="H36" s="616"/>
      <c r="I36" s="52">
        <f>+IF(AND(($C$39&gt;B36),($C$39&lt;C36)),(($C$39/$D$7-C24)*D36+10352),0)</f>
        <v>0</v>
      </c>
      <c r="J36" s="46">
        <f t="shared" si="4"/>
        <v>0</v>
      </c>
    </row>
    <row r="37" spans="1:10" x14ac:dyDescent="0.2">
      <c r="I37" s="208">
        <f>SUM(I30:I36)</f>
        <v>2682.2156587862455</v>
      </c>
      <c r="J37" s="208">
        <f>SUM(J30:J36)</f>
        <v>101934923.89651248</v>
      </c>
    </row>
    <row r="39" spans="1:10" x14ac:dyDescent="0.2">
      <c r="B39" s="5" t="s">
        <v>275</v>
      </c>
      <c r="C39" s="52">
        <f>+B46</f>
        <v>371431079.70432138</v>
      </c>
      <c r="D39" s="201">
        <f>+J37/C39</f>
        <v>0.27443832642561311</v>
      </c>
    </row>
    <row r="40" spans="1:10" x14ac:dyDescent="0.2">
      <c r="B40" s="5" t="s">
        <v>264</v>
      </c>
      <c r="C40" s="52">
        <f>+J37</f>
        <v>101934923.89651248</v>
      </c>
    </row>
    <row r="45" spans="1:10" x14ac:dyDescent="0.2">
      <c r="A45" s="25" t="s">
        <v>48</v>
      </c>
      <c r="B45" s="25" t="s">
        <v>95</v>
      </c>
      <c r="C45" s="25" t="s">
        <v>96</v>
      </c>
    </row>
    <row r="46" spans="1:10" x14ac:dyDescent="0.2">
      <c r="A46" s="5" t="str">
        <f>+'18 Limite CG'!A14</f>
        <v>Rentas líquida ordinaria cédula general</v>
      </c>
      <c r="B46" s="2">
        <f>+'18 Limite CG'!B14</f>
        <v>371431079.70432138</v>
      </c>
      <c r="C46" s="2" t="str">
        <f>+'18 Limite CG'!C14</f>
        <v>Renglón 93 y 97</v>
      </c>
    </row>
    <row r="48" spans="1:10" x14ac:dyDescent="0.2">
      <c r="A48" s="370" t="s">
        <v>550</v>
      </c>
    </row>
    <row r="49" spans="1:3" x14ac:dyDescent="0.2">
      <c r="A49" s="257" t="s">
        <v>554</v>
      </c>
      <c r="B49" s="257">
        <f>+B46</f>
        <v>371431079.70432138</v>
      </c>
    </row>
    <row r="50" spans="1:3" x14ac:dyDescent="0.2">
      <c r="A50" s="257" t="s">
        <v>551</v>
      </c>
      <c r="B50" s="257">
        <f>+D7</f>
        <v>38004</v>
      </c>
    </row>
    <row r="51" spans="1:3" x14ac:dyDescent="0.2">
      <c r="A51" s="257" t="s">
        <v>552</v>
      </c>
      <c r="B51" s="356">
        <f>+B49/B50</f>
        <v>9773.4733108178443</v>
      </c>
    </row>
    <row r="52" spans="1:3" x14ac:dyDescent="0.2">
      <c r="A52" s="257" t="s">
        <v>555</v>
      </c>
      <c r="B52" s="356">
        <f>+B51-8670</f>
        <v>1103.4733108178443</v>
      </c>
    </row>
    <row r="53" spans="1:3" x14ac:dyDescent="0.2">
      <c r="A53" s="257" t="s">
        <v>556</v>
      </c>
      <c r="B53" s="356">
        <f>+B52*35%</f>
        <v>386.21565878624551</v>
      </c>
    </row>
    <row r="54" spans="1:3" x14ac:dyDescent="0.2">
      <c r="A54" s="257" t="s">
        <v>557</v>
      </c>
      <c r="B54" s="356">
        <f>+B53+2296</f>
        <v>2682.2156587862455</v>
      </c>
    </row>
    <row r="55" spans="1:3" x14ac:dyDescent="0.2">
      <c r="A55" s="357" t="s">
        <v>553</v>
      </c>
      <c r="B55" s="357">
        <f>+ROUND((B54*B50),-3)</f>
        <v>101935000</v>
      </c>
      <c r="C55" s="302" t="s">
        <v>558</v>
      </c>
    </row>
    <row r="59" spans="1:3" ht="13.5" thickBot="1" x14ac:dyDescent="0.25">
      <c r="A59" s="25" t="s">
        <v>48</v>
      </c>
      <c r="B59" s="25" t="s">
        <v>95</v>
      </c>
      <c r="C59" s="25" t="s">
        <v>96</v>
      </c>
    </row>
    <row r="60" spans="1:3" ht="13.5" thickBot="1" x14ac:dyDescent="0.25">
      <c r="A60" s="188" t="s">
        <v>559</v>
      </c>
      <c r="B60" s="195">
        <f>+'20 Div'!B12</f>
        <v>0</v>
      </c>
    </row>
    <row r="61" spans="1:3" x14ac:dyDescent="0.2">
      <c r="A61" s="189"/>
      <c r="C61" s="22"/>
    </row>
    <row r="62" spans="1:3" x14ac:dyDescent="0.2">
      <c r="A62" s="256" t="s">
        <v>550</v>
      </c>
      <c r="C62" s="22"/>
    </row>
    <row r="63" spans="1:3" x14ac:dyDescent="0.2">
      <c r="A63" s="257" t="s">
        <v>561</v>
      </c>
      <c r="B63" s="257">
        <f>+B60</f>
        <v>0</v>
      </c>
      <c r="C63" s="362"/>
    </row>
    <row r="64" spans="1:3" x14ac:dyDescent="0.2">
      <c r="A64" s="257" t="s">
        <v>551</v>
      </c>
      <c r="B64" s="257">
        <f>+'22 Tarifas'!D7</f>
        <v>38004</v>
      </c>
      <c r="C64" s="22"/>
    </row>
    <row r="65" spans="1:3" x14ac:dyDescent="0.2">
      <c r="A65" s="257" t="s">
        <v>552</v>
      </c>
      <c r="B65" s="356">
        <f>+B63/B64</f>
        <v>0</v>
      </c>
      <c r="C65" s="22"/>
    </row>
    <row r="66" spans="1:3" x14ac:dyDescent="0.2">
      <c r="A66" s="357" t="s">
        <v>560</v>
      </c>
      <c r="B66" s="361">
        <f>+B65*0%</f>
        <v>0</v>
      </c>
      <c r="C66" s="362" t="s">
        <v>562</v>
      </c>
    </row>
    <row r="67" spans="1:3" x14ac:dyDescent="0.2">
      <c r="A67" s="360"/>
      <c r="B67" s="360"/>
      <c r="C67" s="22"/>
    </row>
    <row r="68" spans="1:3" ht="13.5" thickBot="1" x14ac:dyDescent="0.25">
      <c r="C68" s="22"/>
    </row>
    <row r="69" spans="1:3" ht="13.5" thickBot="1" x14ac:dyDescent="0.25">
      <c r="A69" s="188" t="s">
        <v>253</v>
      </c>
      <c r="B69" s="195">
        <f>+'20 Div'!B17</f>
        <v>123000000</v>
      </c>
      <c r="C69" s="362" t="s">
        <v>538</v>
      </c>
    </row>
    <row r="70" spans="1:3" x14ac:dyDescent="0.2">
      <c r="A70" s="184" t="s">
        <v>748</v>
      </c>
      <c r="B70" s="191">
        <f>+'22 Tarifas'!D7</f>
        <v>38004</v>
      </c>
      <c r="C70" s="241"/>
    </row>
    <row r="71" spans="1:3" x14ac:dyDescent="0.2">
      <c r="A71" s="184" t="s">
        <v>254</v>
      </c>
      <c r="B71" s="196">
        <f>+B69/B70</f>
        <v>3236.5014209030628</v>
      </c>
      <c r="C71" s="241"/>
    </row>
    <row r="72" spans="1:3" x14ac:dyDescent="0.2">
      <c r="A72" s="184" t="s">
        <v>261</v>
      </c>
      <c r="B72" s="196">
        <f>+IF((B71&gt;300),(B71-300),B71)</f>
        <v>2936.5014209030628</v>
      </c>
      <c r="C72" s="241"/>
    </row>
    <row r="73" spans="1:3" ht="13.5" thickBot="1" x14ac:dyDescent="0.25">
      <c r="A73" s="184" t="s">
        <v>563</v>
      </c>
      <c r="B73" s="196">
        <f>+B72*10%</f>
        <v>293.6501420903063</v>
      </c>
      <c r="C73" s="22"/>
    </row>
    <row r="74" spans="1:3" ht="13.5" thickBot="1" x14ac:dyDescent="0.25">
      <c r="A74" s="185" t="s">
        <v>256</v>
      </c>
      <c r="B74" s="194">
        <f>+ROUND((B73*'22 Tarifas'!D7),-3)</f>
        <v>11160000</v>
      </c>
      <c r="C74" s="186" t="s">
        <v>564</v>
      </c>
    </row>
    <row r="76" spans="1:3" ht="13.5" thickBot="1" x14ac:dyDescent="0.25"/>
    <row r="77" spans="1:3" ht="13.5" thickBot="1" x14ac:dyDescent="0.25">
      <c r="A77" s="188" t="s">
        <v>257</v>
      </c>
      <c r="B77" s="197">
        <f>+'20 Div'!B22</f>
        <v>65432000</v>
      </c>
      <c r="C77" s="362" t="s">
        <v>539</v>
      </c>
    </row>
    <row r="78" spans="1:3" x14ac:dyDescent="0.2">
      <c r="A78" s="183" t="s">
        <v>565</v>
      </c>
      <c r="B78" s="198">
        <f>+ROUND((B77*32%),-3)</f>
        <v>20938000</v>
      </c>
      <c r="C78" s="22"/>
    </row>
    <row r="79" spans="1:3" x14ac:dyDescent="0.2">
      <c r="A79" s="189"/>
      <c r="B79" s="189"/>
      <c r="C79" s="22"/>
    </row>
    <row r="80" spans="1:3" x14ac:dyDescent="0.2">
      <c r="A80" s="184" t="s">
        <v>258</v>
      </c>
      <c r="B80" s="191">
        <f>+B77-B78</f>
        <v>44494000</v>
      </c>
      <c r="C80" s="22"/>
    </row>
    <row r="81" spans="1:3" x14ac:dyDescent="0.2">
      <c r="A81" s="189"/>
      <c r="B81" s="189"/>
      <c r="C81" s="22"/>
    </row>
    <row r="82" spans="1:3" x14ac:dyDescent="0.2">
      <c r="A82" s="184" t="s">
        <v>750</v>
      </c>
      <c r="B82" s="191">
        <f>+'22 Tarifas'!D7</f>
        <v>38004</v>
      </c>
      <c r="C82" s="22"/>
    </row>
    <row r="83" spans="1:3" x14ac:dyDescent="0.2">
      <c r="A83" s="184" t="s">
        <v>254</v>
      </c>
      <c r="B83" s="196">
        <f>+B80/B82</f>
        <v>1170.7714977370804</v>
      </c>
      <c r="C83" s="22"/>
    </row>
    <row r="84" spans="1:3" x14ac:dyDescent="0.2">
      <c r="A84" s="184" t="s">
        <v>255</v>
      </c>
      <c r="B84" s="196">
        <f>+IF((B83&gt;300),(B83-300),B83)</f>
        <v>870.77149773708038</v>
      </c>
      <c r="C84" s="22"/>
    </row>
    <row r="85" spans="1:3" x14ac:dyDescent="0.2">
      <c r="A85" s="184" t="s">
        <v>563</v>
      </c>
      <c r="B85" s="196">
        <f>+B84*10%</f>
        <v>87.077149773708044</v>
      </c>
      <c r="C85" s="22"/>
    </row>
    <row r="86" spans="1:3" x14ac:dyDescent="0.2">
      <c r="A86" s="183" t="s">
        <v>259</v>
      </c>
      <c r="B86" s="199">
        <f>+ROUND((B85*'22 Tarifas'!D7),-3)</f>
        <v>3309000</v>
      </c>
      <c r="C86" s="22"/>
    </row>
    <row r="87" spans="1:3" ht="13.5" thickBot="1" x14ac:dyDescent="0.25">
      <c r="A87" s="189"/>
      <c r="B87" s="189"/>
      <c r="C87" s="22"/>
    </row>
    <row r="88" spans="1:3" ht="13.5" thickBot="1" x14ac:dyDescent="0.25">
      <c r="A88" s="185" t="s">
        <v>260</v>
      </c>
      <c r="B88" s="194">
        <f>+B78+B86</f>
        <v>24247000</v>
      </c>
      <c r="C88" s="186" t="s">
        <v>566</v>
      </c>
    </row>
    <row r="89" spans="1:3" ht="13.5" thickBot="1" x14ac:dyDescent="0.25">
      <c r="C89" s="22"/>
    </row>
    <row r="90" spans="1:3" ht="13.5" thickBot="1" x14ac:dyDescent="0.25">
      <c r="A90" s="185" t="s">
        <v>567</v>
      </c>
      <c r="B90" s="194">
        <f>+B88+B74+B66+B55</f>
        <v>137342000</v>
      </c>
      <c r="C90" s="186" t="s">
        <v>566</v>
      </c>
    </row>
    <row r="91" spans="1:3" x14ac:dyDescent="0.2">
      <c r="C91" s="22"/>
    </row>
    <row r="92" spans="1:3" x14ac:dyDescent="0.2">
      <c r="C92" s="22"/>
    </row>
  </sheetData>
  <mergeCells count="21">
    <mergeCell ref="B17:C17"/>
    <mergeCell ref="D17:D18"/>
    <mergeCell ref="E17:H18"/>
    <mergeCell ref="E19:H19"/>
    <mergeCell ref="E20:H20"/>
    <mergeCell ref="E21:H21"/>
    <mergeCell ref="E22:H22"/>
    <mergeCell ref="E23:H23"/>
    <mergeCell ref="E24:H24"/>
    <mergeCell ref="E25:H25"/>
    <mergeCell ref="B27:G27"/>
    <mergeCell ref="B28:C28"/>
    <mergeCell ref="D28:D29"/>
    <mergeCell ref="E28:H29"/>
    <mergeCell ref="E30:H30"/>
    <mergeCell ref="E36:H36"/>
    <mergeCell ref="E31:H31"/>
    <mergeCell ref="E32:H32"/>
    <mergeCell ref="E33:H33"/>
    <mergeCell ref="E34:H34"/>
    <mergeCell ref="E35:H35"/>
  </mergeCells>
  <dataValidations count="3">
    <dataValidation allowBlank="1" showInputMessage="1" showErrorMessage="1" promptTitle="TABLA LIQUIDACIÓN RENTA" prompt="Estos son los rangos para liquidar el impuesto básico de renta para las personas naturales y sucesiones iliquidas. Los rangos cambiarán cada año ya que la  UVT es reajustada." sqref="B17 B28" xr:uid="{56E6E4E7-6E35-40E8-968A-9B7D834AED5D}"/>
    <dataValidation allowBlank="1" showInputMessage="1" showErrorMessage="1" promptTitle="PORCENTAJE" prompt="Tarifa marginal según el artículo 241 del estatuto tributario" sqref="D19:D25 D30:D36" xr:uid="{309A145C-6B0B-4C83-8360-E7F07441C69D}"/>
    <dataValidation allowBlank="1" showInputMessage="1" showErrorMessage="1" promptTitle="RANGOS" prompt="Rango para liquidar el impuesto sobre la renta y complementarios" sqref="B19:C25 B30:C36" xr:uid="{4BCC9B83-E718-4D84-BE85-3E8F2E918C70}"/>
  </dataValidation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FF45-644B-44EA-827B-6500462204F4}">
  <dimension ref="A3:D29"/>
  <sheetViews>
    <sheetView showGridLines="0" zoomScale="120" zoomScaleNormal="120" workbookViewId="0">
      <selection activeCell="A6" sqref="A6"/>
    </sheetView>
  </sheetViews>
  <sheetFormatPr baseColWidth="10" defaultRowHeight="12.75" x14ac:dyDescent="0.2"/>
  <cols>
    <col min="1" max="1" width="44.42578125" style="302" customWidth="1"/>
    <col min="2" max="4" width="16.85546875" style="302" customWidth="1"/>
    <col min="5" max="16384" width="11.42578125" style="302"/>
  </cols>
  <sheetData>
    <row r="3" spans="1:4" ht="38.25" x14ac:dyDescent="0.2">
      <c r="A3" s="357" t="s">
        <v>48</v>
      </c>
      <c r="B3" s="372" t="s">
        <v>42</v>
      </c>
      <c r="C3" s="372" t="s">
        <v>281</v>
      </c>
      <c r="D3" s="372" t="s">
        <v>135</v>
      </c>
    </row>
    <row r="4" spans="1:4" ht="25.5" x14ac:dyDescent="0.2">
      <c r="A4" s="363" t="s">
        <v>568</v>
      </c>
      <c r="B4" s="257">
        <f>+'18 Limite CG'!B14</f>
        <v>371431079.70432138</v>
      </c>
      <c r="C4" s="257">
        <f>+B4</f>
        <v>371431079.70432138</v>
      </c>
      <c r="D4" s="357">
        <f>+C4</f>
        <v>371431079.70432138</v>
      </c>
    </row>
    <row r="5" spans="1:4" ht="38.25" x14ac:dyDescent="0.2">
      <c r="A5" s="363" t="s">
        <v>751</v>
      </c>
      <c r="B5" s="257"/>
      <c r="C5" s="257">
        <f>+ROUND((('17 CG RNL'!B6+'16 CG RC'!B8+'16 CG RC'!B9+'16 CG RC'!B7+'16 CG RC'!B6)*9.66/1000),-3)</f>
        <v>7180000</v>
      </c>
      <c r="D5" s="357">
        <f>+B5+C5</f>
        <v>7180000</v>
      </c>
    </row>
    <row r="6" spans="1:4" x14ac:dyDescent="0.2">
      <c r="A6" s="363" t="s">
        <v>583</v>
      </c>
      <c r="B6" s="257"/>
      <c r="C6" s="257">
        <f>+C5*50%</f>
        <v>3590000</v>
      </c>
      <c r="D6" s="357">
        <f>+B6+C6</f>
        <v>3590000</v>
      </c>
    </row>
    <row r="7" spans="1:4" x14ac:dyDescent="0.2">
      <c r="A7" s="363" t="s">
        <v>569</v>
      </c>
      <c r="B7" s="257">
        <v>85000000</v>
      </c>
      <c r="C7" s="257">
        <v>0</v>
      </c>
      <c r="D7" s="357">
        <f t="shared" ref="D7:D9" si="0">+B7+C7</f>
        <v>85000000</v>
      </c>
    </row>
    <row r="8" spans="1:4" x14ac:dyDescent="0.2">
      <c r="A8" s="363" t="s">
        <v>570</v>
      </c>
      <c r="B8" s="257">
        <f>+B7*25%</f>
        <v>21250000</v>
      </c>
      <c r="C8" s="257">
        <f>+C7*25%</f>
        <v>0</v>
      </c>
      <c r="D8" s="357">
        <f t="shared" si="0"/>
        <v>21250000</v>
      </c>
    </row>
    <row r="9" spans="1:4" x14ac:dyDescent="0.2">
      <c r="A9" s="363" t="s">
        <v>16</v>
      </c>
      <c r="B9" s="257">
        <f>+'19 RP'!C19</f>
        <v>0</v>
      </c>
      <c r="C9" s="257">
        <f>+B9</f>
        <v>0</v>
      </c>
      <c r="D9" s="357">
        <f t="shared" si="0"/>
        <v>0</v>
      </c>
    </row>
    <row r="10" spans="1:4" x14ac:dyDescent="0.2">
      <c r="A10" s="365"/>
      <c r="B10" s="366"/>
      <c r="C10" s="367"/>
      <c r="D10" s="366"/>
    </row>
    <row r="11" spans="1:4" x14ac:dyDescent="0.2">
      <c r="A11" s="256"/>
      <c r="B11" s="256"/>
      <c r="C11" s="256"/>
      <c r="D11" s="256"/>
    </row>
    <row r="12" spans="1:4" x14ac:dyDescent="0.2">
      <c r="A12" s="256"/>
      <c r="B12" s="256"/>
      <c r="C12" s="256"/>
      <c r="D12" s="256"/>
    </row>
    <row r="13" spans="1:4" ht="38.25" x14ac:dyDescent="0.2">
      <c r="A13" s="357" t="s">
        <v>571</v>
      </c>
      <c r="B13" s="372" t="str">
        <f>+B3</f>
        <v>Donaciones</v>
      </c>
      <c r="C13" s="372" t="str">
        <f t="shared" ref="C13:D13" si="1">+C3</f>
        <v>Impuesto de industria y comercio</v>
      </c>
      <c r="D13" s="372" t="str">
        <f t="shared" si="1"/>
        <v>Total</v>
      </c>
    </row>
    <row r="14" spans="1:4" x14ac:dyDescent="0.2">
      <c r="A14" s="363" t="s">
        <v>572</v>
      </c>
      <c r="B14" s="364">
        <f>+'22 Tarifas'!B90</f>
        <v>137342000</v>
      </c>
      <c r="C14" s="364">
        <f>+B14</f>
        <v>137342000</v>
      </c>
      <c r="D14" s="369">
        <f>+C14</f>
        <v>137342000</v>
      </c>
    </row>
    <row r="15" spans="1:4" ht="25.5" x14ac:dyDescent="0.2">
      <c r="A15" s="363" t="s">
        <v>573</v>
      </c>
      <c r="B15" s="257">
        <v>0</v>
      </c>
      <c r="C15" s="257">
        <f>+B15</f>
        <v>0</v>
      </c>
      <c r="D15" s="357">
        <f>+C15</f>
        <v>0</v>
      </c>
    </row>
    <row r="16" spans="1:4" x14ac:dyDescent="0.2">
      <c r="A16" s="368" t="s">
        <v>586</v>
      </c>
      <c r="B16" s="369">
        <f>+B8+B6</f>
        <v>21250000</v>
      </c>
      <c r="C16" s="369">
        <f>+C8+C6</f>
        <v>3590000</v>
      </c>
      <c r="D16" s="369">
        <f>+B16+C16</f>
        <v>24840000</v>
      </c>
    </row>
    <row r="17" spans="1:4" ht="25.5" x14ac:dyDescent="0.2">
      <c r="A17" s="368" t="s">
        <v>574</v>
      </c>
      <c r="B17" s="369"/>
      <c r="C17" s="369"/>
      <c r="D17" s="369">
        <f>+D14-D16</f>
        <v>112502000</v>
      </c>
    </row>
    <row r="18" spans="1:4" ht="25.5" x14ac:dyDescent="0.2">
      <c r="A18" s="363" t="s">
        <v>575</v>
      </c>
      <c r="B18" s="364"/>
      <c r="C18" s="364"/>
      <c r="D18" s="369">
        <f>+D14</f>
        <v>137342000</v>
      </c>
    </row>
    <row r="19" spans="1:4" ht="38.25" x14ac:dyDescent="0.2">
      <c r="A19" s="363" t="s">
        <v>576</v>
      </c>
      <c r="B19" s="257"/>
      <c r="C19" s="257"/>
      <c r="D19" s="357">
        <f>+B19+C19</f>
        <v>0</v>
      </c>
    </row>
    <row r="20" spans="1:4" ht="38.25" x14ac:dyDescent="0.2">
      <c r="A20" s="363" t="s">
        <v>577</v>
      </c>
      <c r="B20" s="364">
        <f>+IF((B14&gt;B15),(B14*30%),(B15*30%))</f>
        <v>41202600</v>
      </c>
      <c r="C20" s="364"/>
      <c r="D20" s="369">
        <f>+IF((D14&gt;D15),(D14*30%),(D15*30%))</f>
        <v>41202600</v>
      </c>
    </row>
    <row r="21" spans="1:4" x14ac:dyDescent="0.2">
      <c r="A21" s="363" t="s">
        <v>578</v>
      </c>
      <c r="B21" s="364"/>
      <c r="C21" s="364"/>
      <c r="D21" s="369" t="b">
        <f>+D16&lt;D18</f>
        <v>1</v>
      </c>
    </row>
    <row r="22" spans="1:4" x14ac:dyDescent="0.2">
      <c r="A22" s="363" t="s">
        <v>579</v>
      </c>
      <c r="B22" s="364"/>
      <c r="C22" s="364"/>
      <c r="D22" s="369" t="b">
        <f>+D17&gt;D19</f>
        <v>1</v>
      </c>
    </row>
    <row r="23" spans="1:4" x14ac:dyDescent="0.2">
      <c r="A23" s="363" t="s">
        <v>584</v>
      </c>
      <c r="B23" s="364" t="b">
        <f>+B16&lt;B20</f>
        <v>1</v>
      </c>
      <c r="C23" s="364"/>
      <c r="D23" s="369" t="b">
        <f>+B16&lt;D20</f>
        <v>1</v>
      </c>
    </row>
    <row r="24" spans="1:4" x14ac:dyDescent="0.2">
      <c r="A24" s="363" t="s">
        <v>580</v>
      </c>
      <c r="B24" s="364"/>
      <c r="C24" s="364"/>
      <c r="D24" s="357">
        <f>+B24+C24</f>
        <v>0</v>
      </c>
    </row>
    <row r="25" spans="1:4" ht="38.25" x14ac:dyDescent="0.2">
      <c r="A25" s="368" t="s">
        <v>581</v>
      </c>
      <c r="B25" s="369"/>
      <c r="C25" s="369"/>
      <c r="D25" s="369">
        <f>+D16-D24</f>
        <v>24840000</v>
      </c>
    </row>
    <row r="26" spans="1:4" x14ac:dyDescent="0.2">
      <c r="A26" s="368" t="s">
        <v>585</v>
      </c>
      <c r="B26" s="369"/>
      <c r="C26" s="369"/>
      <c r="D26" s="369">
        <f>+IF((D14&gt;D15),(D14-D25),(D15-D25))</f>
        <v>112502000</v>
      </c>
    </row>
    <row r="27" spans="1:4" x14ac:dyDescent="0.2">
      <c r="A27" s="256"/>
      <c r="B27" s="256"/>
      <c r="C27" s="256"/>
      <c r="D27" s="256"/>
    </row>
    <row r="28" spans="1:4" x14ac:dyDescent="0.2">
      <c r="A28" s="370" t="s">
        <v>582</v>
      </c>
      <c r="D28" s="371">
        <f t="shared" ref="D28" si="2">+D16-D24-D25</f>
        <v>0</v>
      </c>
    </row>
    <row r="29" spans="1:4" x14ac:dyDescent="0.2">
      <c r="A29" s="256"/>
      <c r="B29" s="256"/>
      <c r="C29" s="256"/>
      <c r="D29" s="256"/>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0"/>
  <sheetViews>
    <sheetView showGridLines="0" zoomScale="170" zoomScaleNormal="170" workbookViewId="0">
      <selection activeCell="C17" sqref="C17"/>
    </sheetView>
  </sheetViews>
  <sheetFormatPr baseColWidth="10" defaultRowHeight="12.75" x14ac:dyDescent="0.2"/>
  <cols>
    <col min="1" max="1" width="47.140625" customWidth="1"/>
    <col min="2" max="2" width="12.140625" bestFit="1" customWidth="1"/>
    <col min="3" max="3" width="13.85546875" bestFit="1" customWidth="1"/>
    <col min="4" max="4" width="13.7109375" customWidth="1"/>
  </cols>
  <sheetData>
    <row r="1" spans="1:5" x14ac:dyDescent="0.2">
      <c r="A1" s="587" t="s">
        <v>718</v>
      </c>
      <c r="B1" s="571"/>
      <c r="C1" s="571"/>
      <c r="D1" s="571"/>
      <c r="E1" s="588"/>
    </row>
    <row r="2" spans="1:5" x14ac:dyDescent="0.2">
      <c r="B2" s="1"/>
      <c r="C2" s="1"/>
      <c r="D2" s="1"/>
    </row>
    <row r="3" spans="1:5" x14ac:dyDescent="0.2">
      <c r="B3" s="1"/>
      <c r="C3" s="1"/>
      <c r="D3" s="1"/>
    </row>
    <row r="5" spans="1:5" x14ac:dyDescent="0.2">
      <c r="A5" s="626" t="s">
        <v>115</v>
      </c>
      <c r="B5" s="626"/>
      <c r="C5" s="37"/>
    </row>
    <row r="6" spans="1:5" x14ac:dyDescent="0.2">
      <c r="A6" s="625" t="s">
        <v>109</v>
      </c>
      <c r="B6" s="625"/>
      <c r="C6" s="38">
        <f>+'23 DT'!D26</f>
        <v>112502000</v>
      </c>
      <c r="D6" s="209" t="s">
        <v>276</v>
      </c>
    </row>
    <row r="7" spans="1:5" x14ac:dyDescent="0.2">
      <c r="A7" s="624">
        <v>0.75</v>
      </c>
      <c r="B7" s="624"/>
      <c r="C7" s="37">
        <f>ROUND(+C6*A7,-3)</f>
        <v>84377000</v>
      </c>
      <c r="D7" s="47"/>
    </row>
    <row r="8" spans="1:5" x14ac:dyDescent="0.2">
      <c r="A8" s="625" t="s">
        <v>110</v>
      </c>
      <c r="B8" s="625"/>
      <c r="C8" s="37">
        <f>+'Formulario 210'!AH46</f>
        <v>17810000</v>
      </c>
      <c r="D8" s="47"/>
    </row>
    <row r="9" spans="1:5" x14ac:dyDescent="0.2">
      <c r="A9" s="627" t="s">
        <v>116</v>
      </c>
      <c r="B9" s="627"/>
      <c r="C9" s="39">
        <f>IF(C7-C8&lt;0,0,C7-C8)</f>
        <v>66567000</v>
      </c>
      <c r="D9" s="48"/>
    </row>
    <row r="10" spans="1:5" x14ac:dyDescent="0.2">
      <c r="A10" s="3"/>
      <c r="B10" s="3"/>
      <c r="C10" s="40"/>
    </row>
    <row r="11" spans="1:5" x14ac:dyDescent="0.2">
      <c r="A11" s="626" t="s">
        <v>118</v>
      </c>
      <c r="B11" s="626"/>
      <c r="C11" s="37"/>
    </row>
    <row r="12" spans="1:5" x14ac:dyDescent="0.2">
      <c r="A12" s="625" t="s">
        <v>111</v>
      </c>
      <c r="B12" s="625"/>
      <c r="C12" s="37">
        <v>124708000</v>
      </c>
    </row>
    <row r="13" spans="1:5" x14ac:dyDescent="0.2">
      <c r="A13" s="625" t="s">
        <v>112</v>
      </c>
      <c r="B13" s="625"/>
      <c r="C13" s="37">
        <f>+C6</f>
        <v>112502000</v>
      </c>
    </row>
    <row r="14" spans="1:5" x14ac:dyDescent="0.2">
      <c r="A14" s="630" t="s">
        <v>93</v>
      </c>
      <c r="B14" s="630"/>
      <c r="C14" s="41">
        <f>+C12+C13</f>
        <v>237210000</v>
      </c>
    </row>
    <row r="15" spans="1:5" x14ac:dyDescent="0.2">
      <c r="A15" s="631" t="s">
        <v>113</v>
      </c>
      <c r="B15" s="631"/>
      <c r="C15" s="37">
        <f>ROUND(+C14/2,-3)</f>
        <v>118605000</v>
      </c>
    </row>
    <row r="16" spans="1:5" x14ac:dyDescent="0.2">
      <c r="A16" s="624">
        <f>A7</f>
        <v>0.75</v>
      </c>
      <c r="B16" s="624"/>
      <c r="C16" s="37">
        <f>IF(A16&gt;25%,C15*A16,0)</f>
        <v>88953750</v>
      </c>
    </row>
    <row r="17" spans="1:3" x14ac:dyDescent="0.2">
      <c r="A17" s="625" t="s">
        <v>114</v>
      </c>
      <c r="B17" s="625"/>
      <c r="C17" s="37">
        <f>+C8</f>
        <v>17810000</v>
      </c>
    </row>
    <row r="18" spans="1:3" x14ac:dyDescent="0.2">
      <c r="A18" s="627" t="s">
        <v>117</v>
      </c>
      <c r="B18" s="627"/>
      <c r="C18" s="39">
        <f>IF(C16-C17&lt;0,0,C16-C17)</f>
        <v>71143750</v>
      </c>
    </row>
    <row r="19" spans="1:3" x14ac:dyDescent="0.2">
      <c r="A19" s="3"/>
      <c r="B19" s="3"/>
      <c r="C19" s="40"/>
    </row>
    <row r="20" spans="1:3" x14ac:dyDescent="0.2">
      <c r="A20" s="628" t="s">
        <v>119</v>
      </c>
      <c r="B20" s="629"/>
      <c r="C20" s="42">
        <f>IF(A7=25%,C9,MIN(C9,C18))</f>
        <v>66567000</v>
      </c>
    </row>
  </sheetData>
  <mergeCells count="15">
    <mergeCell ref="A9:B9"/>
    <mergeCell ref="A11:B11"/>
    <mergeCell ref="A18:B18"/>
    <mergeCell ref="A20:B20"/>
    <mergeCell ref="A12:B12"/>
    <mergeCell ref="A13:B13"/>
    <mergeCell ref="A14:B14"/>
    <mergeCell ref="A15:B15"/>
    <mergeCell ref="A16:B16"/>
    <mergeCell ref="A17:B17"/>
    <mergeCell ref="A7:B7"/>
    <mergeCell ref="A8:B8"/>
    <mergeCell ref="A1:E1"/>
    <mergeCell ref="A5:B5"/>
    <mergeCell ref="A6:B6"/>
  </mergeCells>
  <phoneticPr fontId="9" type="noConversion"/>
  <pageMargins left="0.75" right="0.75" top="1" bottom="1"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3"/>
  <sheetViews>
    <sheetView showGridLines="0" topLeftCell="A23" zoomScale="160" zoomScaleNormal="160" workbookViewId="0">
      <selection activeCell="A28" sqref="A28"/>
    </sheetView>
  </sheetViews>
  <sheetFormatPr baseColWidth="10" defaultRowHeight="12.75" x14ac:dyDescent="0.2"/>
  <cols>
    <col min="1" max="1" width="32.28515625" style="5" customWidth="1"/>
    <col min="2" max="2" width="14.42578125" style="5" customWidth="1"/>
    <col min="3" max="3" width="13.42578125" style="2" customWidth="1"/>
    <col min="4" max="4" width="15.5703125" style="5" customWidth="1"/>
    <col min="5" max="5" width="15" style="5" customWidth="1"/>
    <col min="6" max="6" width="15.140625" style="5" customWidth="1"/>
    <col min="7" max="7" width="16.28515625" style="5" customWidth="1"/>
    <col min="8" max="8" width="14" style="5" customWidth="1"/>
    <col min="9" max="10" width="11.42578125" style="5"/>
    <col min="11" max="11" width="12.85546875" style="5" bestFit="1" customWidth="1"/>
    <col min="12" max="16384" width="11.42578125" style="5"/>
  </cols>
  <sheetData>
    <row r="1" spans="1:10" x14ac:dyDescent="0.2">
      <c r="A1" s="571" t="s">
        <v>297</v>
      </c>
      <c r="B1" s="571"/>
      <c r="C1" s="571"/>
      <c r="D1" s="571"/>
      <c r="E1" s="571"/>
      <c r="F1" s="571"/>
      <c r="G1" s="571"/>
    </row>
    <row r="2" spans="1:10" x14ac:dyDescent="0.2">
      <c r="C2" s="5"/>
    </row>
    <row r="3" spans="1:10" ht="12.75" customHeight="1" x14ac:dyDescent="0.2">
      <c r="A3" s="575" t="s">
        <v>65</v>
      </c>
      <c r="B3" s="576" t="s">
        <v>300</v>
      </c>
      <c r="C3" s="577"/>
      <c r="D3" s="578"/>
      <c r="E3" s="576" t="s">
        <v>64</v>
      </c>
      <c r="F3" s="578"/>
    </row>
    <row r="4" spans="1:10" x14ac:dyDescent="0.2">
      <c r="A4" s="575"/>
      <c r="B4" s="572" t="s">
        <v>11</v>
      </c>
      <c r="C4" s="575" t="s">
        <v>301</v>
      </c>
      <c r="D4" s="575"/>
      <c r="E4" s="575" t="s">
        <v>304</v>
      </c>
      <c r="F4" s="575"/>
    </row>
    <row r="5" spans="1:10" x14ac:dyDescent="0.2">
      <c r="A5" s="575"/>
      <c r="B5" s="572"/>
      <c r="C5" s="19" t="s">
        <v>302</v>
      </c>
      <c r="D5" s="246" t="s">
        <v>135</v>
      </c>
      <c r="E5" s="19" t="s">
        <v>302</v>
      </c>
      <c r="F5" s="246" t="s">
        <v>135</v>
      </c>
      <c r="G5" s="246" t="s">
        <v>292</v>
      </c>
    </row>
    <row r="6" spans="1:10" x14ac:dyDescent="0.2">
      <c r="A6" s="11" t="s">
        <v>298</v>
      </c>
      <c r="B6" s="4">
        <v>5000</v>
      </c>
      <c r="C6" s="4">
        <v>10500</v>
      </c>
      <c r="D6" s="4">
        <f t="shared" ref="D6:D8" si="0">+B6*C6</f>
        <v>52500000</v>
      </c>
      <c r="E6" s="4">
        <v>9345</v>
      </c>
      <c r="F6" s="4">
        <f t="shared" ref="F6:F8" si="1">+E6*B6</f>
        <v>46725000</v>
      </c>
      <c r="G6" s="4">
        <f t="shared" ref="G6:G8" si="2">+F6</f>
        <v>46725000</v>
      </c>
    </row>
    <row r="7" spans="1:10" x14ac:dyDescent="0.2">
      <c r="A7" s="11" t="s">
        <v>299</v>
      </c>
      <c r="B7" s="4">
        <v>3000</v>
      </c>
      <c r="C7" s="4">
        <v>24000</v>
      </c>
      <c r="D7" s="4">
        <f t="shared" si="0"/>
        <v>72000000</v>
      </c>
      <c r="E7" s="4">
        <v>23000</v>
      </c>
      <c r="F7" s="4">
        <f t="shared" si="1"/>
        <v>69000000</v>
      </c>
      <c r="G7" s="4">
        <f t="shared" si="2"/>
        <v>69000000</v>
      </c>
    </row>
    <row r="8" spans="1:10" x14ac:dyDescent="0.2">
      <c r="A8" s="11" t="s">
        <v>303</v>
      </c>
      <c r="B8" s="4">
        <v>2000</v>
      </c>
      <c r="C8" s="4">
        <v>25700</v>
      </c>
      <c r="D8" s="4">
        <f t="shared" si="0"/>
        <v>51400000</v>
      </c>
      <c r="E8" s="4">
        <v>28456</v>
      </c>
      <c r="F8" s="4">
        <f t="shared" si="1"/>
        <v>56912000</v>
      </c>
      <c r="G8" s="4">
        <f t="shared" si="2"/>
        <v>56912000</v>
      </c>
    </row>
    <row r="9" spans="1:10" x14ac:dyDescent="0.2">
      <c r="A9" s="8" t="s">
        <v>135</v>
      </c>
      <c r="B9" s="4"/>
      <c r="C9" s="4"/>
      <c r="D9" s="50">
        <f>SUM(D6:D8)</f>
        <v>175900000</v>
      </c>
      <c r="E9" s="4"/>
      <c r="F9" s="50">
        <f>SUM(F6:F8)</f>
        <v>172637000</v>
      </c>
      <c r="G9" s="50">
        <f>SUM(G6:G8)</f>
        <v>172637000</v>
      </c>
    </row>
    <row r="10" spans="1:10" x14ac:dyDescent="0.2">
      <c r="C10" s="5"/>
    </row>
    <row r="11" spans="1:10" x14ac:dyDescent="0.2">
      <c r="C11" s="5"/>
    </row>
    <row r="12" spans="1:10" x14ac:dyDescent="0.2">
      <c r="A12" s="571" t="s">
        <v>321</v>
      </c>
      <c r="B12" s="571"/>
      <c r="C12" s="571"/>
      <c r="D12" s="571"/>
      <c r="E12" s="571"/>
      <c r="F12" s="571"/>
      <c r="G12" s="571"/>
    </row>
    <row r="13" spans="1:10" x14ac:dyDescent="0.2">
      <c r="A13" s="243"/>
      <c r="B13" s="243"/>
      <c r="C13" s="243"/>
      <c r="D13" s="243"/>
      <c r="E13" s="243"/>
      <c r="F13" s="243"/>
      <c r="G13" s="243"/>
    </row>
    <row r="14" spans="1:10" x14ac:dyDescent="0.2">
      <c r="A14" s="575" t="s">
        <v>65</v>
      </c>
      <c r="B14" s="579" t="s">
        <v>11</v>
      </c>
      <c r="C14" s="576" t="s">
        <v>324</v>
      </c>
      <c r="D14" s="578"/>
    </row>
    <row r="15" spans="1:10" ht="25.5" x14ac:dyDescent="0.2">
      <c r="A15" s="575"/>
      <c r="B15" s="580"/>
      <c r="C15" s="19" t="s">
        <v>302</v>
      </c>
      <c r="D15" s="246" t="s">
        <v>135</v>
      </c>
      <c r="E15" s="541" t="s">
        <v>225</v>
      </c>
      <c r="F15" s="541" t="s">
        <v>330</v>
      </c>
      <c r="G15" s="541" t="s">
        <v>332</v>
      </c>
      <c r="H15" s="541" t="s">
        <v>333</v>
      </c>
      <c r="I15" s="541" t="s">
        <v>292</v>
      </c>
      <c r="J15" s="541" t="s">
        <v>331</v>
      </c>
    </row>
    <row r="16" spans="1:10" x14ac:dyDescent="0.2">
      <c r="A16" s="11" t="s">
        <v>322</v>
      </c>
      <c r="B16" s="4">
        <v>45000</v>
      </c>
      <c r="C16" s="4">
        <v>1000</v>
      </c>
      <c r="D16" s="4">
        <f>+B16*C16</f>
        <v>45000000</v>
      </c>
      <c r="E16" s="259">
        <v>0.4</v>
      </c>
      <c r="F16" s="11" t="s">
        <v>325</v>
      </c>
      <c r="G16" s="258"/>
      <c r="H16" s="11"/>
      <c r="I16" s="4">
        <f>+(D16*G16)+D16</f>
        <v>45000000</v>
      </c>
      <c r="J16" s="4">
        <f>+I16-D16</f>
        <v>0</v>
      </c>
    </row>
    <row r="17" spans="1:12" x14ac:dyDescent="0.2">
      <c r="A17" s="11" t="s">
        <v>329</v>
      </c>
      <c r="B17" s="4">
        <v>13000</v>
      </c>
      <c r="C17" s="4">
        <v>1000</v>
      </c>
      <c r="D17" s="4">
        <f>+B17*C17</f>
        <v>13000000</v>
      </c>
      <c r="E17" s="259">
        <v>0.5</v>
      </c>
      <c r="F17" s="11" t="s">
        <v>328</v>
      </c>
      <c r="G17" s="11"/>
      <c r="H17" s="11">
        <v>1</v>
      </c>
      <c r="I17" s="4">
        <f>+D17*H17</f>
        <v>13000000</v>
      </c>
      <c r="J17" s="4">
        <f>+I17-D17</f>
        <v>0</v>
      </c>
    </row>
    <row r="18" spans="1:12" x14ac:dyDescent="0.2">
      <c r="A18" s="11" t="s">
        <v>323</v>
      </c>
      <c r="B18" s="4">
        <v>120000</v>
      </c>
      <c r="C18" s="4">
        <v>1000</v>
      </c>
      <c r="D18" s="4">
        <f>+B18*C18</f>
        <v>120000000</v>
      </c>
      <c r="E18" s="259">
        <v>1</v>
      </c>
      <c r="F18" s="11" t="s">
        <v>326</v>
      </c>
      <c r="G18" s="11"/>
      <c r="H18" s="11"/>
      <c r="I18" s="4">
        <f>+D18</f>
        <v>120000000</v>
      </c>
      <c r="J18" s="4">
        <f t="shared" ref="J18" si="3">+I18-D18</f>
        <v>0</v>
      </c>
    </row>
    <row r="19" spans="1:12" x14ac:dyDescent="0.2">
      <c r="A19" s="8" t="s">
        <v>135</v>
      </c>
      <c r="B19" s="4"/>
      <c r="C19" s="4"/>
      <c r="D19" s="50">
        <f>SUM(D16:D18)</f>
        <v>178000000</v>
      </c>
      <c r="I19" s="50">
        <f>SUM(I16:I18)</f>
        <v>178000000</v>
      </c>
      <c r="J19" s="50">
        <f>SUM(J16:J18)</f>
        <v>0</v>
      </c>
    </row>
    <row r="20" spans="1:12" x14ac:dyDescent="0.2">
      <c r="A20" s="243"/>
      <c r="B20" s="243"/>
      <c r="C20" s="243"/>
      <c r="D20" s="243"/>
      <c r="G20" s="243"/>
    </row>
    <row r="21" spans="1:12" x14ac:dyDescent="0.2">
      <c r="A21" s="243"/>
      <c r="B21" s="243"/>
      <c r="C21" s="243"/>
      <c r="D21" s="243"/>
      <c r="G21" s="243"/>
    </row>
    <row r="22" spans="1:12" x14ac:dyDescent="0.2">
      <c r="A22" s="243"/>
      <c r="B22" s="243"/>
      <c r="C22" s="243"/>
      <c r="D22" s="243"/>
      <c r="G22" s="243"/>
    </row>
    <row r="23" spans="1:12" x14ac:dyDescent="0.2">
      <c r="A23" s="571" t="s">
        <v>334</v>
      </c>
      <c r="B23" s="571"/>
      <c r="C23" s="571"/>
      <c r="D23" s="571"/>
      <c r="E23" s="6"/>
      <c r="F23" s="6"/>
      <c r="G23" s="6"/>
    </row>
    <row r="25" spans="1:12" ht="35.25" customHeight="1" x14ac:dyDescent="0.2">
      <c r="A25" s="246" t="s">
        <v>338</v>
      </c>
      <c r="B25" s="242" t="s">
        <v>337</v>
      </c>
      <c r="C25" s="242" t="s">
        <v>749</v>
      </c>
      <c r="D25" s="242" t="s">
        <v>76</v>
      </c>
    </row>
    <row r="26" spans="1:12" x14ac:dyDescent="0.2">
      <c r="A26" s="11" t="s">
        <v>335</v>
      </c>
      <c r="B26" s="4">
        <v>800000000</v>
      </c>
      <c r="C26" s="258">
        <v>1.0084</v>
      </c>
      <c r="D26" s="4">
        <f t="shared" ref="D26:D28" si="4">+B26*C26</f>
        <v>806720000</v>
      </c>
      <c r="H26" s="2"/>
      <c r="K26" s="237"/>
      <c r="L26" s="236"/>
    </row>
    <row r="27" spans="1:12" x14ac:dyDescent="0.2">
      <c r="A27" s="11" t="s">
        <v>336</v>
      </c>
      <c r="B27" s="4">
        <v>520000000</v>
      </c>
      <c r="C27" s="258">
        <v>1.0604</v>
      </c>
      <c r="D27" s="4">
        <f t="shared" si="4"/>
        <v>551408000</v>
      </c>
      <c r="H27" s="2"/>
      <c r="K27" s="237"/>
      <c r="L27" s="236"/>
    </row>
    <row r="28" spans="1:12" x14ac:dyDescent="0.2">
      <c r="A28" s="313" t="s">
        <v>697</v>
      </c>
      <c r="B28" s="4">
        <v>223000000</v>
      </c>
      <c r="C28" s="258">
        <v>0.97750000000000004</v>
      </c>
      <c r="D28" s="4">
        <f t="shared" si="4"/>
        <v>217982500</v>
      </c>
    </row>
    <row r="29" spans="1:12" x14ac:dyDescent="0.2">
      <c r="A29" s="15" t="s">
        <v>220</v>
      </c>
      <c r="B29" s="20">
        <f>SUM(B26:B28)</f>
        <v>1543000000</v>
      </c>
      <c r="C29" s="5"/>
      <c r="D29" s="20">
        <f>SUM(D26:D28)</f>
        <v>1576110500</v>
      </c>
    </row>
    <row r="31" spans="1:12" x14ac:dyDescent="0.2">
      <c r="C31" s="5"/>
    </row>
    <row r="32" spans="1:12" ht="43.5" customHeight="1" x14ac:dyDescent="0.2">
      <c r="A32" s="574" t="s">
        <v>678</v>
      </c>
      <c r="B32" s="573"/>
      <c r="C32" s="573"/>
      <c r="D32" s="573"/>
      <c r="E32" s="573"/>
      <c r="F32" s="573"/>
    </row>
    <row r="35" spans="1:12" x14ac:dyDescent="0.2">
      <c r="C35" s="5"/>
    </row>
    <row r="38" spans="1:12" x14ac:dyDescent="0.2">
      <c r="A38" s="243"/>
      <c r="B38" s="243"/>
      <c r="C38" s="243"/>
      <c r="D38" s="243"/>
      <c r="G38" s="243"/>
    </row>
    <row r="39" spans="1:12" x14ac:dyDescent="0.2">
      <c r="A39" s="571" t="s">
        <v>340</v>
      </c>
      <c r="B39" s="571"/>
      <c r="C39" s="571"/>
      <c r="D39" s="571"/>
      <c r="E39" s="571"/>
      <c r="F39" s="571"/>
      <c r="G39" s="571"/>
    </row>
    <row r="41" spans="1:12" ht="12.75" customHeight="1" x14ac:dyDescent="0.2">
      <c r="A41" s="575" t="s">
        <v>339</v>
      </c>
      <c r="B41" s="572" t="s">
        <v>214</v>
      </c>
      <c r="C41" s="572" t="s">
        <v>76</v>
      </c>
    </row>
    <row r="42" spans="1:12" x14ac:dyDescent="0.2">
      <c r="A42" s="575"/>
      <c r="B42" s="572"/>
      <c r="C42" s="572"/>
      <c r="F42" s="302"/>
    </row>
    <row r="43" spans="1:12" x14ac:dyDescent="0.2">
      <c r="A43" s="575"/>
      <c r="B43" s="572"/>
      <c r="C43" s="572"/>
    </row>
    <row r="44" spans="1:12" x14ac:dyDescent="0.2">
      <c r="A44" s="11" t="s">
        <v>215</v>
      </c>
      <c r="B44" s="4">
        <v>132543000</v>
      </c>
      <c r="C44" s="4">
        <f>+B44</f>
        <v>132543000</v>
      </c>
      <c r="F44" s="302"/>
      <c r="H44" s="302"/>
      <c r="J44" s="302"/>
      <c r="L44" s="302"/>
    </row>
    <row r="45" spans="1:12" x14ac:dyDescent="0.2">
      <c r="A45" s="15" t="s">
        <v>220</v>
      </c>
      <c r="B45" s="20">
        <f>SUM(B44:B44)</f>
        <v>132543000</v>
      </c>
      <c r="C45" s="20">
        <f>SUM(C44:C44)</f>
        <v>132543000</v>
      </c>
      <c r="F45" s="302"/>
    </row>
    <row r="47" spans="1:12" x14ac:dyDescent="0.2">
      <c r="F47" s="302"/>
      <c r="H47" s="45"/>
    </row>
    <row r="48" spans="1:12" x14ac:dyDescent="0.2">
      <c r="F48" s="302"/>
    </row>
    <row r="49" spans="1:6" x14ac:dyDescent="0.2">
      <c r="A49" s="6" t="s">
        <v>211</v>
      </c>
      <c r="F49" s="302"/>
    </row>
    <row r="50" spans="1:6" x14ac:dyDescent="0.2">
      <c r="A50" s="5" t="s">
        <v>216</v>
      </c>
    </row>
    <row r="51" spans="1:6" x14ac:dyDescent="0.2">
      <c r="A51" s="5" t="s">
        <v>217</v>
      </c>
    </row>
    <row r="52" spans="1:6" ht="73.5" customHeight="1" x14ac:dyDescent="0.2">
      <c r="A52" s="573" t="s">
        <v>218</v>
      </c>
      <c r="B52" s="573"/>
      <c r="C52" s="573"/>
      <c r="D52" s="573"/>
      <c r="E52" s="573"/>
      <c r="F52" s="573"/>
    </row>
    <row r="53" spans="1:6" ht="48" customHeight="1" x14ac:dyDescent="0.2">
      <c r="A53" s="573" t="s">
        <v>219</v>
      </c>
      <c r="B53" s="573"/>
      <c r="C53" s="573"/>
      <c r="D53" s="573"/>
      <c r="E53" s="573"/>
      <c r="F53" s="573"/>
    </row>
  </sheetData>
  <mergeCells count="19">
    <mergeCell ref="C14:D14"/>
    <mergeCell ref="A39:G39"/>
    <mergeCell ref="A41:A43"/>
    <mergeCell ref="B41:B43"/>
    <mergeCell ref="C41:C43"/>
    <mergeCell ref="A23:D23"/>
    <mergeCell ref="A53:F53"/>
    <mergeCell ref="A1:G1"/>
    <mergeCell ref="A52:F52"/>
    <mergeCell ref="A32:F32"/>
    <mergeCell ref="A3:A5"/>
    <mergeCell ref="B3:D3"/>
    <mergeCell ref="B4:B5"/>
    <mergeCell ref="C4:D4"/>
    <mergeCell ref="E4:F4"/>
    <mergeCell ref="E3:F3"/>
    <mergeCell ref="A12:G12"/>
    <mergeCell ref="A14:A15"/>
    <mergeCell ref="B14:B15"/>
  </mergeCells>
  <phoneticPr fontId="9" type="noConversion"/>
  <pageMargins left="0.74803149606299213" right="0.74803149606299213" top="0.98425196850393704" bottom="0.98425196850393704" header="0" footer="0"/>
  <pageSetup scale="6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2"/>
  <sheetViews>
    <sheetView showGridLines="0" topLeftCell="A16" zoomScale="180" zoomScaleNormal="180" workbookViewId="0">
      <selection activeCell="C13" sqref="C13"/>
    </sheetView>
  </sheetViews>
  <sheetFormatPr baseColWidth="10" defaultRowHeight="12.75" x14ac:dyDescent="0.2"/>
  <cols>
    <col min="1" max="1" width="47.140625" style="5" customWidth="1"/>
    <col min="2" max="2" width="12.140625" style="5" bestFit="1" customWidth="1"/>
    <col min="3" max="3" width="21.140625" style="5" bestFit="1" customWidth="1"/>
    <col min="4" max="4" width="13.7109375" style="5" customWidth="1"/>
    <col min="5" max="5" width="12.5703125" style="5" bestFit="1" customWidth="1"/>
    <col min="6" max="16384" width="11.42578125" style="5"/>
  </cols>
  <sheetData>
    <row r="1" spans="1:5" x14ac:dyDescent="0.2">
      <c r="A1" s="587" t="s">
        <v>719</v>
      </c>
      <c r="B1" s="571"/>
      <c r="C1" s="571"/>
      <c r="D1" s="571"/>
      <c r="E1" s="588"/>
    </row>
    <row r="2" spans="1:5" x14ac:dyDescent="0.2">
      <c r="B2" s="2"/>
      <c r="C2" s="2"/>
      <c r="D2" s="2"/>
    </row>
    <row r="3" spans="1:5" x14ac:dyDescent="0.2">
      <c r="A3" s="210"/>
      <c r="B3" s="211"/>
      <c r="C3" s="212" t="s">
        <v>120</v>
      </c>
    </row>
    <row r="4" spans="1:5" x14ac:dyDescent="0.2">
      <c r="A4" s="213" t="s">
        <v>277</v>
      </c>
      <c r="B4" s="214"/>
      <c r="C4" s="215">
        <f>+'13 PB'!B33-'14 Deudas'!D17</f>
        <v>6103150087.9878006</v>
      </c>
      <c r="D4" s="2"/>
    </row>
    <row r="5" spans="1:5" x14ac:dyDescent="0.2">
      <c r="A5" s="216"/>
      <c r="B5" s="217"/>
      <c r="C5" s="218"/>
    </row>
    <row r="6" spans="1:5" x14ac:dyDescent="0.2">
      <c r="A6" s="213" t="s">
        <v>102</v>
      </c>
      <c r="B6" s="214"/>
      <c r="C6" s="215">
        <f>+'19 RP'!C4</f>
        <v>5536379834</v>
      </c>
    </row>
    <row r="7" spans="1:5" x14ac:dyDescent="0.2">
      <c r="A7" s="219" t="s">
        <v>121</v>
      </c>
      <c r="B7" s="220"/>
      <c r="C7" s="221">
        <f>+C4-C6</f>
        <v>566770253.9878006</v>
      </c>
    </row>
    <row r="8" spans="1:5" x14ac:dyDescent="0.2">
      <c r="A8" s="373" t="s">
        <v>122</v>
      </c>
      <c r="B8" s="222"/>
      <c r="C8" s="223"/>
    </row>
    <row r="9" spans="1:5" x14ac:dyDescent="0.2">
      <c r="A9" s="224" t="s">
        <v>136</v>
      </c>
      <c r="B9" s="225"/>
      <c r="C9" s="226">
        <f>+'11 PPYE y PI'!G7</f>
        <v>0</v>
      </c>
    </row>
    <row r="10" spans="1:5" x14ac:dyDescent="0.2">
      <c r="A10" s="224" t="s">
        <v>278</v>
      </c>
      <c r="B10" s="227"/>
      <c r="C10" s="228">
        <v>0</v>
      </c>
    </row>
    <row r="11" spans="1:5" x14ac:dyDescent="0.2">
      <c r="A11" s="229" t="s">
        <v>137</v>
      </c>
      <c r="B11" s="230"/>
      <c r="C11" s="250">
        <f>+C7-C9-C10</f>
        <v>566770253.9878006</v>
      </c>
      <c r="D11" s="249">
        <v>1</v>
      </c>
    </row>
    <row r="12" spans="1:5" x14ac:dyDescent="0.2">
      <c r="A12" s="232" t="s">
        <v>123</v>
      </c>
      <c r="B12" s="233"/>
      <c r="C12" s="234"/>
      <c r="D12" s="2"/>
      <c r="E12" s="46"/>
    </row>
    <row r="13" spans="1:5" x14ac:dyDescent="0.2">
      <c r="A13" s="224" t="s">
        <v>124</v>
      </c>
      <c r="B13" s="227"/>
      <c r="C13" s="223">
        <f>+'18 Limite CG'!B14+'20 Div'!B17+'20 Div'!B22+'20 Div'!B12</f>
        <v>559863079.70432138</v>
      </c>
      <c r="D13" s="52"/>
    </row>
    <row r="14" spans="1:5" x14ac:dyDescent="0.2">
      <c r="A14" s="224" t="s">
        <v>125</v>
      </c>
      <c r="B14" s="227"/>
      <c r="C14" s="223">
        <f>+'21 GO'!E13</f>
        <v>0</v>
      </c>
      <c r="D14" s="2"/>
      <c r="E14" s="2"/>
    </row>
    <row r="15" spans="1:5" x14ac:dyDescent="0.2">
      <c r="A15" s="224" t="s">
        <v>126</v>
      </c>
      <c r="B15" s="227"/>
      <c r="C15" s="223">
        <f>+'15 CG RT'!C14+'16 CG RC'!B17+'20 Div'!B10</f>
        <v>124460000</v>
      </c>
      <c r="D15" s="2"/>
    </row>
    <row r="16" spans="1:5" x14ac:dyDescent="0.2">
      <c r="A16" s="224" t="s">
        <v>127</v>
      </c>
      <c r="B16" s="227"/>
      <c r="C16" s="226">
        <f>+('19 RP'!C31)*(('15 CG RT'!F21+'16 CG RC'!F30)/('15 CG RT'!F23+'16 CG RC'!F32))</f>
        <v>21275000</v>
      </c>
      <c r="D16" s="2"/>
      <c r="E16" s="201"/>
    </row>
    <row r="17" spans="1:5" x14ac:dyDescent="0.2">
      <c r="A17" s="224" t="s">
        <v>128</v>
      </c>
      <c r="B17" s="227"/>
      <c r="C17" s="223">
        <v>0</v>
      </c>
      <c r="D17" s="2"/>
    </row>
    <row r="18" spans="1:5" x14ac:dyDescent="0.2">
      <c r="A18" s="229" t="s">
        <v>129</v>
      </c>
      <c r="B18" s="230"/>
      <c r="C18" s="231">
        <f>+SUM(C13:C17)</f>
        <v>705598079.70432138</v>
      </c>
      <c r="D18" s="2"/>
      <c r="E18" s="2"/>
    </row>
    <row r="19" spans="1:5" x14ac:dyDescent="0.2">
      <c r="A19" s="373" t="s">
        <v>13</v>
      </c>
      <c r="B19" s="222"/>
      <c r="C19" s="223"/>
      <c r="D19" s="2"/>
    </row>
    <row r="20" spans="1:5" x14ac:dyDescent="0.2">
      <c r="A20" s="224" t="s">
        <v>279</v>
      </c>
      <c r="B20" s="227"/>
      <c r="C20" s="223">
        <f>+'21 GO'!E15+'23 DT'!D26</f>
        <v>112502000</v>
      </c>
      <c r="D20" s="2"/>
      <c r="E20" s="2"/>
    </row>
    <row r="21" spans="1:5" x14ac:dyDescent="0.2">
      <c r="A21" s="229" t="s">
        <v>138</v>
      </c>
      <c r="B21" s="235"/>
      <c r="C21" s="250">
        <f>+C18-C20</f>
        <v>593096079.70432138</v>
      </c>
      <c r="D21" s="236">
        <v>2</v>
      </c>
      <c r="E21" s="2"/>
    </row>
    <row r="22" spans="1:5" x14ac:dyDescent="0.2">
      <c r="A22" s="229" t="s">
        <v>130</v>
      </c>
      <c r="B22" s="230"/>
      <c r="C22" s="231">
        <f>+C11-C21</f>
        <v>-26325825.716520786</v>
      </c>
    </row>
  </sheetData>
  <mergeCells count="1">
    <mergeCell ref="A1:E1"/>
  </mergeCells>
  <dataValidations count="2">
    <dataValidation allowBlank="1" showInputMessage="1" showErrorMessage="1" prompt="Digite el numero 1 en esta celda  para  no limitar las rentas exentas de forma propocional." sqref="B16" xr:uid="{00000000-0002-0000-0C00-000000000000}"/>
    <dataValidation allowBlank="1" showInputMessage="1" showErrorMessage="1" prompt="Reajuste fiscal AF; Dif. Avaluo catastral; valorización aportes voluntarios pensiones" sqref="C9" xr:uid="{00000000-0002-0000-0C00-000001000000}"/>
  </dataValidations>
  <pageMargins left="0.75" right="0.75" top="1" bottom="1" header="0" footer="0"/>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3E1DA-CA7B-4BCE-B0A1-D1E23845542B}">
  <dimension ref="A3:H105"/>
  <sheetViews>
    <sheetView showGridLines="0" topLeftCell="A72" zoomScale="160" zoomScaleNormal="160" workbookViewId="0">
      <selection activeCell="B74" sqref="B74"/>
    </sheetView>
  </sheetViews>
  <sheetFormatPr baseColWidth="10" defaultRowHeight="12.75" x14ac:dyDescent="0.2"/>
  <cols>
    <col min="1" max="1" width="11.42578125" style="546"/>
    <col min="2" max="2" width="17.42578125" style="546" customWidth="1"/>
    <col min="3" max="3" width="14.85546875" style="546" customWidth="1"/>
    <col min="4" max="4" width="14.28515625" style="546" customWidth="1"/>
    <col min="5" max="5" width="14.5703125" style="546" bestFit="1" customWidth="1"/>
    <col min="6" max="6" width="11.5703125" style="546" bestFit="1" customWidth="1"/>
    <col min="7" max="7" width="17.85546875" style="546" customWidth="1"/>
    <col min="8" max="8" width="14.42578125" style="546" bestFit="1" customWidth="1"/>
    <col min="9" max="16384" width="11.42578125" style="546"/>
  </cols>
  <sheetData>
    <row r="3" spans="1:8" ht="139.5" customHeight="1" x14ac:dyDescent="0.2">
      <c r="A3" s="632" t="s">
        <v>753</v>
      </c>
      <c r="B3" s="632"/>
      <c r="C3" s="632"/>
      <c r="D3" s="632"/>
      <c r="E3" s="632"/>
      <c r="F3" s="632"/>
      <c r="G3" s="632"/>
      <c r="H3" s="632"/>
    </row>
    <row r="6" spans="1:8" ht="25.5" customHeight="1" x14ac:dyDescent="0.2">
      <c r="B6" s="633" t="s">
        <v>674</v>
      </c>
      <c r="C6" s="547" t="s">
        <v>675</v>
      </c>
      <c r="D6" s="548" t="s">
        <v>676</v>
      </c>
    </row>
    <row r="7" spans="1:8" x14ac:dyDescent="0.2">
      <c r="B7" s="634"/>
      <c r="C7" s="635" t="s">
        <v>677</v>
      </c>
      <c r="D7" s="636"/>
    </row>
    <row r="8" spans="1:8" x14ac:dyDescent="0.2">
      <c r="B8" s="549" t="s">
        <v>327</v>
      </c>
      <c r="C8" s="550">
        <v>3581.32</v>
      </c>
      <c r="D8" s="550">
        <v>32137.119999999999</v>
      </c>
      <c r="F8" s="551"/>
      <c r="G8" s="551"/>
    </row>
    <row r="9" spans="1:8" x14ac:dyDescent="0.2">
      <c r="B9" s="549">
        <v>1956</v>
      </c>
      <c r="C9" s="550">
        <v>3509.63</v>
      </c>
      <c r="D9" s="550">
        <v>31494.78</v>
      </c>
      <c r="F9" s="551">
        <f>+(C8-C9)/C9</f>
        <v>2.0426654661602522E-2</v>
      </c>
      <c r="G9" s="551">
        <f>+(D8-D9)/D9</f>
        <v>2.0395125795449283E-2</v>
      </c>
    </row>
    <row r="10" spans="1:8" x14ac:dyDescent="0.2">
      <c r="B10" s="549">
        <v>1957</v>
      </c>
      <c r="C10" s="550">
        <v>3249.68</v>
      </c>
      <c r="D10" s="550">
        <v>29162.19</v>
      </c>
      <c r="F10" s="551">
        <f t="shared" ref="F10:G73" si="0">+(C9-C10)/C10</f>
        <v>7.9992491568400673E-2</v>
      </c>
      <c r="G10" s="551">
        <f t="shared" si="0"/>
        <v>7.998679111548207E-2</v>
      </c>
    </row>
    <row r="11" spans="1:8" x14ac:dyDescent="0.2">
      <c r="B11" s="549">
        <v>1958</v>
      </c>
      <c r="C11" s="550">
        <v>2741.82</v>
      </c>
      <c r="D11" s="550">
        <v>24604.31</v>
      </c>
      <c r="F11" s="551">
        <f t="shared" si="0"/>
        <v>0.18522733075110681</v>
      </c>
      <c r="G11" s="551">
        <f t="shared" si="0"/>
        <v>0.18524721888156981</v>
      </c>
    </row>
    <row r="12" spans="1:8" x14ac:dyDescent="0.2">
      <c r="B12" s="549">
        <v>1959</v>
      </c>
      <c r="C12" s="550">
        <v>2506.66</v>
      </c>
      <c r="D12" s="550">
        <v>22494.25</v>
      </c>
      <c r="F12" s="551">
        <f t="shared" si="0"/>
        <v>9.381407929276421E-2</v>
      </c>
      <c r="G12" s="551">
        <f t="shared" si="0"/>
        <v>9.3804416684263814E-2</v>
      </c>
    </row>
    <row r="13" spans="1:8" x14ac:dyDescent="0.2">
      <c r="B13" s="549">
        <v>1960</v>
      </c>
      <c r="C13" s="550">
        <v>2339.61</v>
      </c>
      <c r="D13" s="550">
        <v>20994.94</v>
      </c>
      <c r="F13" s="551">
        <f t="shared" si="0"/>
        <v>7.1400789020392166E-2</v>
      </c>
      <c r="G13" s="551">
        <f t="shared" si="0"/>
        <v>7.141292139915624E-2</v>
      </c>
    </row>
    <row r="14" spans="1:8" x14ac:dyDescent="0.2">
      <c r="B14" s="549">
        <v>1961</v>
      </c>
      <c r="C14" s="550">
        <v>2193.3200000000002</v>
      </c>
      <c r="D14" s="550">
        <v>19576.13</v>
      </c>
      <c r="F14" s="551">
        <f>+(C13-C14)/C14</f>
        <v>6.6697973847865313E-2</v>
      </c>
      <c r="G14" s="551">
        <f>+(D13-D14)/D14</f>
        <v>7.2476531367537789E-2</v>
      </c>
    </row>
    <row r="15" spans="1:8" x14ac:dyDescent="0.2">
      <c r="B15" s="549">
        <v>1962</v>
      </c>
      <c r="C15" s="550">
        <v>2064.46</v>
      </c>
      <c r="D15" s="550">
        <v>18525.04</v>
      </c>
      <c r="F15" s="551">
        <f t="shared" si="0"/>
        <v>6.2418259496430123E-2</v>
      </c>
      <c r="G15" s="551">
        <f t="shared" si="0"/>
        <v>5.6738878836428967E-2</v>
      </c>
    </row>
    <row r="16" spans="1:8" x14ac:dyDescent="0.2">
      <c r="B16" s="549">
        <v>1963</v>
      </c>
      <c r="C16" s="550">
        <v>1928.23</v>
      </c>
      <c r="D16" s="550">
        <v>17303.509999999998</v>
      </c>
      <c r="F16" s="551">
        <f t="shared" si="0"/>
        <v>7.0650285494987641E-2</v>
      </c>
      <c r="G16" s="551">
        <f t="shared" si="0"/>
        <v>7.0594347620800788E-2</v>
      </c>
    </row>
    <row r="17" spans="2:7" x14ac:dyDescent="0.2">
      <c r="B17" s="549">
        <v>1964</v>
      </c>
      <c r="C17" s="550">
        <v>1474.42</v>
      </c>
      <c r="D17" s="550">
        <v>13231.72</v>
      </c>
      <c r="F17" s="551">
        <f t="shared" si="0"/>
        <v>0.30778882543644276</v>
      </c>
      <c r="G17" s="551">
        <f t="shared" si="0"/>
        <v>0.30772945618559033</v>
      </c>
    </row>
    <row r="18" spans="2:7" x14ac:dyDescent="0.2">
      <c r="B18" s="549">
        <v>1965</v>
      </c>
      <c r="C18" s="550">
        <v>1349.81</v>
      </c>
      <c r="D18" s="550">
        <v>12112.77</v>
      </c>
      <c r="F18" s="551">
        <f t="shared" si="0"/>
        <v>9.2316696423941247E-2</v>
      </c>
      <c r="G18" s="551">
        <f t="shared" si="0"/>
        <v>9.2377713768196618E-2</v>
      </c>
    </row>
    <row r="19" spans="2:7" x14ac:dyDescent="0.2">
      <c r="B19" s="549">
        <v>1966</v>
      </c>
      <c r="C19" s="550">
        <v>1177.6199999999999</v>
      </c>
      <c r="D19" s="550">
        <v>10567.7</v>
      </c>
      <c r="F19" s="551">
        <f t="shared" si="0"/>
        <v>0.14621864438443646</v>
      </c>
      <c r="G19" s="551">
        <f t="shared" si="0"/>
        <v>0.14620683781712196</v>
      </c>
    </row>
    <row r="20" spans="2:7" x14ac:dyDescent="0.2">
      <c r="B20" s="549">
        <v>1967</v>
      </c>
      <c r="C20" s="550">
        <v>1038.26</v>
      </c>
      <c r="D20" s="550">
        <v>9317.76</v>
      </c>
      <c r="F20" s="551">
        <f t="shared" si="0"/>
        <v>0.13422456802727631</v>
      </c>
      <c r="G20" s="551">
        <f t="shared" si="0"/>
        <v>0.1341459749982829</v>
      </c>
    </row>
    <row r="21" spans="2:7" x14ac:dyDescent="0.2">
      <c r="B21" s="549">
        <v>1968</v>
      </c>
      <c r="C21" s="550">
        <v>964.12</v>
      </c>
      <c r="D21" s="550">
        <v>8651.75</v>
      </c>
      <c r="F21" s="551">
        <f t="shared" si="0"/>
        <v>7.6899141185744493E-2</v>
      </c>
      <c r="G21" s="551">
        <f t="shared" si="0"/>
        <v>7.697980177420756E-2</v>
      </c>
    </row>
    <row r="22" spans="2:7" x14ac:dyDescent="0.2">
      <c r="B22" s="549">
        <v>1969</v>
      </c>
      <c r="C22" s="550">
        <v>904.49</v>
      </c>
      <c r="D22" s="550">
        <v>8116.74</v>
      </c>
      <c r="F22" s="551">
        <f t="shared" si="0"/>
        <v>6.5926654799942502E-2</v>
      </c>
      <c r="G22" s="551">
        <f t="shared" si="0"/>
        <v>6.5914394202598606E-2</v>
      </c>
    </row>
    <row r="23" spans="2:7" x14ac:dyDescent="0.2">
      <c r="B23" s="549">
        <v>1970</v>
      </c>
      <c r="C23" s="550">
        <v>831.68</v>
      </c>
      <c r="D23" s="550">
        <v>7463.36</v>
      </c>
      <c r="F23" s="551">
        <f t="shared" si="0"/>
        <v>8.7545690650250169E-2</v>
      </c>
      <c r="G23" s="551">
        <f t="shared" si="0"/>
        <v>8.7545019937400867E-2</v>
      </c>
    </row>
    <row r="24" spans="2:7" x14ac:dyDescent="0.2">
      <c r="B24" s="549">
        <v>1971</v>
      </c>
      <c r="C24" s="550">
        <v>776.52</v>
      </c>
      <c r="D24" s="550">
        <v>6967.8</v>
      </c>
      <c r="F24" s="551">
        <f t="shared" si="0"/>
        <v>7.1034873538350557E-2</v>
      </c>
      <c r="G24" s="551">
        <f t="shared" si="0"/>
        <v>7.1121444358333979E-2</v>
      </c>
    </row>
    <row r="25" spans="2:7" x14ac:dyDescent="0.2">
      <c r="B25" s="549">
        <v>1972</v>
      </c>
      <c r="C25" s="550">
        <v>688.08</v>
      </c>
      <c r="D25" s="550">
        <v>6175.54</v>
      </c>
      <c r="F25" s="551">
        <f t="shared" si="0"/>
        <v>0.12853156609696537</v>
      </c>
      <c r="G25" s="551">
        <f t="shared" si="0"/>
        <v>0.1282899956926844</v>
      </c>
    </row>
    <row r="26" spans="2:7" x14ac:dyDescent="0.2">
      <c r="B26" s="549">
        <v>1973</v>
      </c>
      <c r="C26" s="550">
        <v>605</v>
      </c>
      <c r="D26" s="550">
        <v>5430.63</v>
      </c>
      <c r="F26" s="551">
        <f t="shared" si="0"/>
        <v>0.13732231404958684</v>
      </c>
      <c r="G26" s="551">
        <f t="shared" si="0"/>
        <v>0.13716824751456089</v>
      </c>
    </row>
    <row r="27" spans="2:7" x14ac:dyDescent="0.2">
      <c r="B27" s="549">
        <v>1974</v>
      </c>
      <c r="C27" s="550">
        <v>494.23</v>
      </c>
      <c r="D27" s="550">
        <v>4436.3500000000004</v>
      </c>
      <c r="F27" s="551">
        <f t="shared" si="0"/>
        <v>0.22412641887380366</v>
      </c>
      <c r="G27" s="551">
        <f t="shared" si="0"/>
        <v>0.22412118070035045</v>
      </c>
    </row>
    <row r="28" spans="2:7" x14ac:dyDescent="0.2">
      <c r="B28" s="549">
        <v>1975</v>
      </c>
      <c r="C28" s="550">
        <v>395.29</v>
      </c>
      <c r="D28" s="550">
        <v>3546.24</v>
      </c>
      <c r="F28" s="551">
        <f t="shared" si="0"/>
        <v>0.2502972501201649</v>
      </c>
      <c r="G28" s="551">
        <f t="shared" si="0"/>
        <v>0.25100106027792835</v>
      </c>
    </row>
    <row r="29" spans="2:7" x14ac:dyDescent="0.2">
      <c r="B29" s="549">
        <v>1976</v>
      </c>
      <c r="C29" s="550">
        <v>336.11</v>
      </c>
      <c r="D29" s="550">
        <v>3015.96</v>
      </c>
      <c r="F29" s="551">
        <f t="shared" si="0"/>
        <v>0.17607330933325402</v>
      </c>
      <c r="G29" s="551">
        <f t="shared" si="0"/>
        <v>0.17582461305852853</v>
      </c>
    </row>
    <row r="30" spans="2:7" x14ac:dyDescent="0.2">
      <c r="B30" s="549">
        <v>1977</v>
      </c>
      <c r="C30" s="550">
        <v>268</v>
      </c>
      <c r="D30" s="550">
        <v>2403.62</v>
      </c>
      <c r="F30" s="551">
        <f t="shared" si="0"/>
        <v>0.25414179104477619</v>
      </c>
      <c r="G30" s="551">
        <f t="shared" si="0"/>
        <v>0.2547574075769049</v>
      </c>
    </row>
    <row r="31" spans="2:7" x14ac:dyDescent="0.2">
      <c r="B31" s="549">
        <v>1978</v>
      </c>
      <c r="C31" s="550">
        <v>210.15</v>
      </c>
      <c r="D31" s="550">
        <v>1885.96</v>
      </c>
      <c r="F31" s="551">
        <f t="shared" si="0"/>
        <v>0.27527956221746369</v>
      </c>
      <c r="G31" s="551">
        <f t="shared" si="0"/>
        <v>0.27448090097350941</v>
      </c>
    </row>
    <row r="32" spans="2:7" x14ac:dyDescent="0.2">
      <c r="B32" s="549">
        <v>1979</v>
      </c>
      <c r="C32" s="550">
        <v>175.54</v>
      </c>
      <c r="D32" s="550">
        <v>1575.05</v>
      </c>
      <c r="F32" s="551">
        <f t="shared" si="0"/>
        <v>0.19716303976301705</v>
      </c>
      <c r="G32" s="551">
        <f t="shared" si="0"/>
        <v>0.19739690803466561</v>
      </c>
    </row>
    <row r="33" spans="2:7" x14ac:dyDescent="0.2">
      <c r="B33" s="549">
        <v>1980</v>
      </c>
      <c r="C33" s="550">
        <v>138.69</v>
      </c>
      <c r="D33" s="550">
        <v>1245.21</v>
      </c>
      <c r="F33" s="551">
        <f t="shared" si="0"/>
        <v>0.2657004830917874</v>
      </c>
      <c r="G33" s="551">
        <f t="shared" si="0"/>
        <v>0.26488704716473521</v>
      </c>
    </row>
    <row r="34" spans="2:7" x14ac:dyDescent="0.2">
      <c r="B34" s="549">
        <v>1981</v>
      </c>
      <c r="C34" s="550">
        <v>124.52</v>
      </c>
      <c r="D34" s="550">
        <v>999.01</v>
      </c>
      <c r="F34" s="551">
        <f t="shared" si="0"/>
        <v>0.11379698040475428</v>
      </c>
      <c r="G34" s="551">
        <f t="shared" si="0"/>
        <v>0.2464439795397444</v>
      </c>
    </row>
    <row r="35" spans="2:7" x14ac:dyDescent="0.2">
      <c r="B35" s="549">
        <v>1982</v>
      </c>
      <c r="C35" s="550">
        <v>88.66</v>
      </c>
      <c r="D35" s="550">
        <v>795.42</v>
      </c>
      <c r="F35" s="551">
        <f t="shared" si="0"/>
        <v>0.40446650124069478</v>
      </c>
      <c r="G35" s="551">
        <f t="shared" si="0"/>
        <v>0.25595282995147223</v>
      </c>
    </row>
    <row r="36" spans="2:7" x14ac:dyDescent="0.2">
      <c r="B36" s="549">
        <v>1983</v>
      </c>
      <c r="C36" s="550">
        <v>71.239999999999995</v>
      </c>
      <c r="D36" s="550">
        <v>639.17999999999995</v>
      </c>
      <c r="F36" s="551">
        <f t="shared" si="0"/>
        <v>0.24452554744525551</v>
      </c>
      <c r="G36" s="551">
        <f t="shared" si="0"/>
        <v>0.24443818642635881</v>
      </c>
    </row>
    <row r="37" spans="2:7" x14ac:dyDescent="0.2">
      <c r="B37" s="549">
        <v>1984</v>
      </c>
      <c r="C37" s="550">
        <v>61.19</v>
      </c>
      <c r="D37" s="550">
        <v>549.22</v>
      </c>
      <c r="F37" s="551">
        <f t="shared" si="0"/>
        <v>0.16424252328811895</v>
      </c>
      <c r="G37" s="551">
        <f t="shared" si="0"/>
        <v>0.16379592877171245</v>
      </c>
    </row>
    <row r="38" spans="2:7" x14ac:dyDescent="0.2">
      <c r="B38" s="549">
        <v>1985</v>
      </c>
      <c r="C38" s="550">
        <v>51.81</v>
      </c>
      <c r="D38" s="550">
        <v>476.62</v>
      </c>
      <c r="F38" s="551">
        <f t="shared" si="0"/>
        <v>0.18104613009071599</v>
      </c>
      <c r="G38" s="551">
        <f t="shared" si="0"/>
        <v>0.15232260501028078</v>
      </c>
    </row>
    <row r="39" spans="2:7" x14ac:dyDescent="0.2">
      <c r="B39" s="549">
        <v>1986</v>
      </c>
      <c r="C39" s="550">
        <v>42.43</v>
      </c>
      <c r="D39" s="550">
        <v>394.55</v>
      </c>
      <c r="F39" s="551">
        <f t="shared" si="0"/>
        <v>0.22106999764317706</v>
      </c>
      <c r="G39" s="551">
        <f t="shared" si="0"/>
        <v>0.20800912431884422</v>
      </c>
    </row>
    <row r="40" spans="2:7" x14ac:dyDescent="0.2">
      <c r="B40" s="549">
        <v>1987</v>
      </c>
      <c r="C40" s="550">
        <v>35.06</v>
      </c>
      <c r="D40" s="550">
        <v>334.58</v>
      </c>
      <c r="F40" s="551">
        <f t="shared" si="0"/>
        <v>0.21021106674272666</v>
      </c>
      <c r="G40" s="551">
        <f t="shared" si="0"/>
        <v>0.17923964373244075</v>
      </c>
    </row>
    <row r="41" spans="2:7" x14ac:dyDescent="0.2">
      <c r="B41" s="549">
        <v>1988</v>
      </c>
      <c r="C41" s="550">
        <v>28.59</v>
      </c>
      <c r="D41" s="550">
        <v>252.51</v>
      </c>
      <c r="F41" s="551">
        <f t="shared" si="0"/>
        <v>0.22630290311297666</v>
      </c>
      <c r="G41" s="551">
        <f t="shared" si="0"/>
        <v>0.3250168310165934</v>
      </c>
    </row>
    <row r="42" spans="2:7" x14ac:dyDescent="0.2">
      <c r="B42" s="549">
        <v>1989</v>
      </c>
      <c r="C42" s="550">
        <v>22.4</v>
      </c>
      <c r="D42" s="550">
        <v>157.43</v>
      </c>
      <c r="F42" s="551">
        <f t="shared" si="0"/>
        <v>0.27633928571428579</v>
      </c>
      <c r="G42" s="551">
        <f t="shared" si="0"/>
        <v>0.60395096233246515</v>
      </c>
    </row>
    <row r="43" spans="2:7" x14ac:dyDescent="0.2">
      <c r="B43" s="549">
        <v>1990</v>
      </c>
      <c r="C43" s="550">
        <v>17.760000000000002</v>
      </c>
      <c r="D43" s="550">
        <v>108.87</v>
      </c>
      <c r="F43" s="551">
        <f t="shared" si="0"/>
        <v>0.26126126126126109</v>
      </c>
      <c r="G43" s="551">
        <f t="shared" si="0"/>
        <v>0.44603655736199138</v>
      </c>
    </row>
    <row r="44" spans="2:7" x14ac:dyDescent="0.2">
      <c r="B44" s="549">
        <v>1991</v>
      </c>
      <c r="C44" s="550">
        <v>13.47</v>
      </c>
      <c r="D44" s="550">
        <v>75.87</v>
      </c>
      <c r="F44" s="551">
        <f t="shared" si="0"/>
        <v>0.31848552338530073</v>
      </c>
      <c r="G44" s="551">
        <f t="shared" si="0"/>
        <v>0.43495452748121782</v>
      </c>
    </row>
    <row r="45" spans="2:7" x14ac:dyDescent="0.2">
      <c r="B45" s="549">
        <v>1992</v>
      </c>
      <c r="C45" s="550">
        <v>10.61</v>
      </c>
      <c r="D45" s="550">
        <v>56.83</v>
      </c>
      <c r="F45" s="551">
        <f t="shared" si="0"/>
        <v>0.26955702167766271</v>
      </c>
      <c r="G45" s="551">
        <f t="shared" si="0"/>
        <v>0.33503431286292462</v>
      </c>
    </row>
    <row r="46" spans="2:7" x14ac:dyDescent="0.2">
      <c r="B46" s="549">
        <v>1993</v>
      </c>
      <c r="C46" s="550">
        <v>8.52</v>
      </c>
      <c r="D46" s="550">
        <v>40.39</v>
      </c>
      <c r="F46" s="551">
        <f t="shared" si="0"/>
        <v>0.24530516431924881</v>
      </c>
      <c r="G46" s="551">
        <f t="shared" si="0"/>
        <v>0.4070314434265907</v>
      </c>
    </row>
    <row r="47" spans="2:7" x14ac:dyDescent="0.2">
      <c r="B47" s="549">
        <v>1994</v>
      </c>
      <c r="C47" s="550">
        <v>6.95</v>
      </c>
      <c r="D47" s="550">
        <v>29.37</v>
      </c>
      <c r="F47" s="551">
        <f t="shared" si="0"/>
        <v>0.22589928057553949</v>
      </c>
      <c r="G47" s="551">
        <f t="shared" si="0"/>
        <v>0.37521280217909431</v>
      </c>
    </row>
    <row r="48" spans="2:7" x14ac:dyDescent="0.2">
      <c r="B48" s="549">
        <v>1995</v>
      </c>
      <c r="C48" s="550">
        <v>5.69</v>
      </c>
      <c r="D48" s="550">
        <v>20.93</v>
      </c>
      <c r="F48" s="551">
        <f t="shared" si="0"/>
        <v>0.2214411247803163</v>
      </c>
      <c r="G48" s="551">
        <f t="shared" si="0"/>
        <v>0.40324892498805548</v>
      </c>
    </row>
    <row r="49" spans="2:7" x14ac:dyDescent="0.2">
      <c r="B49" s="549">
        <v>1996</v>
      </c>
      <c r="C49" s="550">
        <v>4.82</v>
      </c>
      <c r="D49" s="550">
        <v>15.47</v>
      </c>
      <c r="F49" s="551">
        <f t="shared" si="0"/>
        <v>0.18049792531120334</v>
      </c>
      <c r="G49" s="551">
        <f t="shared" si="0"/>
        <v>0.35294117647058815</v>
      </c>
    </row>
    <row r="50" spans="2:7" x14ac:dyDescent="0.2">
      <c r="B50" s="549">
        <v>1997</v>
      </c>
      <c r="C50" s="550">
        <v>4.16</v>
      </c>
      <c r="D50" s="550">
        <v>12.84</v>
      </c>
      <c r="F50" s="551">
        <f t="shared" si="0"/>
        <v>0.15865384615384617</v>
      </c>
      <c r="G50" s="551">
        <f t="shared" si="0"/>
        <v>0.20482866043613712</v>
      </c>
    </row>
    <row r="51" spans="2:7" x14ac:dyDescent="0.2">
      <c r="B51" s="549">
        <v>1998</v>
      </c>
      <c r="C51" s="550">
        <v>3.54</v>
      </c>
      <c r="D51" s="550">
        <v>9.86</v>
      </c>
      <c r="F51" s="551">
        <f t="shared" si="0"/>
        <v>0.17514124293785313</v>
      </c>
      <c r="G51" s="551">
        <f t="shared" si="0"/>
        <v>0.30223123732251528</v>
      </c>
    </row>
    <row r="52" spans="2:7" x14ac:dyDescent="0.2">
      <c r="B52" s="549">
        <v>1999</v>
      </c>
      <c r="C52" s="550">
        <v>3.05</v>
      </c>
      <c r="D52" s="550">
        <v>8.2200000000000006</v>
      </c>
      <c r="F52" s="551">
        <f t="shared" si="0"/>
        <v>0.16065573770491812</v>
      </c>
      <c r="G52" s="551">
        <f t="shared" si="0"/>
        <v>0.19951338199513366</v>
      </c>
    </row>
    <row r="53" spans="2:7" x14ac:dyDescent="0.2">
      <c r="B53" s="549">
        <v>2000</v>
      </c>
      <c r="C53" s="550">
        <v>2.8</v>
      </c>
      <c r="D53" s="550">
        <v>8.16</v>
      </c>
      <c r="F53" s="551">
        <f t="shared" si="0"/>
        <v>8.9285714285714288E-2</v>
      </c>
      <c r="G53" s="551">
        <f t="shared" si="0"/>
        <v>7.3529411764706488E-3</v>
      </c>
    </row>
    <row r="54" spans="2:7" x14ac:dyDescent="0.2">
      <c r="B54" s="549">
        <v>2001</v>
      </c>
      <c r="C54" s="550">
        <v>2.58</v>
      </c>
      <c r="D54" s="550">
        <v>7.89</v>
      </c>
      <c r="F54" s="551">
        <f t="shared" si="0"/>
        <v>8.5271317829457266E-2</v>
      </c>
      <c r="G54" s="551">
        <f t="shared" si="0"/>
        <v>3.4220532319391692E-2</v>
      </c>
    </row>
    <row r="55" spans="2:7" x14ac:dyDescent="0.2">
      <c r="B55" s="549">
        <v>2002</v>
      </c>
      <c r="C55" s="550">
        <v>2.4</v>
      </c>
      <c r="D55" s="550">
        <v>7.29</v>
      </c>
      <c r="F55" s="551">
        <f t="shared" si="0"/>
        <v>7.5000000000000067E-2</v>
      </c>
      <c r="G55" s="551">
        <f t="shared" si="0"/>
        <v>8.2304526748971138E-2</v>
      </c>
    </row>
    <row r="56" spans="2:7" x14ac:dyDescent="0.2">
      <c r="B56" s="549">
        <v>2003</v>
      </c>
      <c r="C56" s="550">
        <v>2.25</v>
      </c>
      <c r="D56" s="550">
        <v>6.55</v>
      </c>
      <c r="F56" s="551">
        <f t="shared" si="0"/>
        <v>6.6666666666666624E-2</v>
      </c>
      <c r="G56" s="551">
        <f t="shared" si="0"/>
        <v>0.11297709923664126</v>
      </c>
    </row>
    <row r="57" spans="2:7" x14ac:dyDescent="0.2">
      <c r="B57" s="549">
        <v>2004</v>
      </c>
      <c r="C57" s="550">
        <v>2.11</v>
      </c>
      <c r="D57" s="550">
        <v>6.16</v>
      </c>
      <c r="F57" s="551">
        <f t="shared" si="0"/>
        <v>6.6350710900473994E-2</v>
      </c>
      <c r="G57" s="551">
        <f t="shared" si="0"/>
        <v>6.3311688311688263E-2</v>
      </c>
    </row>
    <row r="58" spans="2:7" x14ac:dyDescent="0.2">
      <c r="B58" s="549">
        <v>2005</v>
      </c>
      <c r="C58" s="550">
        <v>2</v>
      </c>
      <c r="D58" s="550">
        <v>5.78</v>
      </c>
      <c r="F58" s="551">
        <f t="shared" si="0"/>
        <v>5.4999999999999938E-2</v>
      </c>
      <c r="G58" s="551">
        <f t="shared" si="0"/>
        <v>6.5743944636678181E-2</v>
      </c>
    </row>
    <row r="59" spans="2:7" x14ac:dyDescent="0.2">
      <c r="B59" s="549">
        <v>2006</v>
      </c>
      <c r="C59" s="550">
        <v>1.91</v>
      </c>
      <c r="D59" s="550">
        <v>5.48</v>
      </c>
      <c r="F59" s="551">
        <f t="shared" si="0"/>
        <v>4.7120418848167582E-2</v>
      </c>
      <c r="G59" s="551">
        <f t="shared" si="0"/>
        <v>5.4744525547445216E-2</v>
      </c>
    </row>
    <row r="60" spans="2:7" x14ac:dyDescent="0.2">
      <c r="B60" s="549">
        <v>2007</v>
      </c>
      <c r="C60" s="550">
        <v>1.82</v>
      </c>
      <c r="D60" s="550">
        <v>4.16</v>
      </c>
      <c r="F60" s="551">
        <f t="shared" si="0"/>
        <v>4.9450549450549372E-2</v>
      </c>
      <c r="G60" s="551">
        <f t="shared" si="0"/>
        <v>0.31730769230769235</v>
      </c>
    </row>
    <row r="61" spans="2:7" x14ac:dyDescent="0.2">
      <c r="B61" s="549">
        <v>2008</v>
      </c>
      <c r="C61" s="550">
        <v>1.72</v>
      </c>
      <c r="D61" s="550">
        <v>3.7</v>
      </c>
      <c r="F61" s="551">
        <f t="shared" si="0"/>
        <v>5.8139534883720985E-2</v>
      </c>
      <c r="G61" s="551">
        <f t="shared" si="0"/>
        <v>0.1243243243243243</v>
      </c>
    </row>
    <row r="62" spans="2:7" x14ac:dyDescent="0.2">
      <c r="B62" s="549">
        <v>2009</v>
      </c>
      <c r="C62" s="550">
        <v>1.59</v>
      </c>
      <c r="D62" s="550">
        <v>3.05</v>
      </c>
      <c r="F62" s="551">
        <f t="shared" si="0"/>
        <v>8.1761006289308102E-2</v>
      </c>
      <c r="G62" s="551">
        <f t="shared" si="0"/>
        <v>0.21311475409836078</v>
      </c>
    </row>
    <row r="63" spans="2:7" x14ac:dyDescent="0.2">
      <c r="B63" s="549">
        <v>2010</v>
      </c>
      <c r="C63" s="550">
        <v>1.56</v>
      </c>
      <c r="D63" s="550">
        <v>2.78</v>
      </c>
      <c r="F63" s="551">
        <f t="shared" si="0"/>
        <v>1.9230769230769246E-2</v>
      </c>
      <c r="G63" s="551">
        <f t="shared" si="0"/>
        <v>9.7122302158273388E-2</v>
      </c>
    </row>
    <row r="64" spans="2:7" x14ac:dyDescent="0.2">
      <c r="B64" s="549">
        <v>2011</v>
      </c>
      <c r="C64" s="550">
        <v>1.51</v>
      </c>
      <c r="D64" s="550">
        <v>2.5499999999999998</v>
      </c>
      <c r="F64" s="551">
        <f t="shared" si="0"/>
        <v>3.3112582781456984E-2</v>
      </c>
      <c r="G64" s="551">
        <f t="shared" si="0"/>
        <v>9.0196078431372548E-2</v>
      </c>
    </row>
    <row r="65" spans="1:8" x14ac:dyDescent="0.2">
      <c r="B65" s="549">
        <v>2012</v>
      </c>
      <c r="C65" s="550">
        <v>1.46</v>
      </c>
      <c r="D65" s="550">
        <v>2.13</v>
      </c>
      <c r="F65" s="551">
        <f t="shared" si="0"/>
        <v>3.4246575342465786E-2</v>
      </c>
      <c r="G65" s="551">
        <f t="shared" si="0"/>
        <v>0.19718309859154928</v>
      </c>
    </row>
    <row r="66" spans="1:8" x14ac:dyDescent="0.2">
      <c r="B66" s="549">
        <v>2013</v>
      </c>
      <c r="C66" s="550">
        <v>1.42</v>
      </c>
      <c r="D66" s="550">
        <v>1.83</v>
      </c>
      <c r="F66" s="551">
        <f t="shared" si="0"/>
        <v>2.8169014084507067E-2</v>
      </c>
      <c r="G66" s="551">
        <f t="shared" si="0"/>
        <v>0.1639344262295081</v>
      </c>
    </row>
    <row r="67" spans="1:8" x14ac:dyDescent="0.2">
      <c r="B67" s="549">
        <v>2014</v>
      </c>
      <c r="C67" s="550">
        <v>1.39</v>
      </c>
      <c r="D67" s="550">
        <v>1.62</v>
      </c>
      <c r="F67" s="551">
        <f t="shared" si="0"/>
        <v>2.1582733812949662E-2</v>
      </c>
      <c r="G67" s="551">
        <f t="shared" si="0"/>
        <v>0.12962962962962959</v>
      </c>
    </row>
    <row r="68" spans="1:8" x14ac:dyDescent="0.2">
      <c r="B68" s="549">
        <v>2015</v>
      </c>
      <c r="C68" s="550">
        <v>1.34</v>
      </c>
      <c r="D68" s="550">
        <v>1.5</v>
      </c>
      <c r="F68" s="551">
        <f t="shared" si="0"/>
        <v>3.731343283582076E-2</v>
      </c>
      <c r="G68" s="551">
        <f t="shared" si="0"/>
        <v>8.0000000000000071E-2</v>
      </c>
    </row>
    <row r="69" spans="1:8" x14ac:dyDescent="0.2">
      <c r="B69" s="549">
        <v>2016</v>
      </c>
      <c r="C69" s="550">
        <v>1.26</v>
      </c>
      <c r="D69" s="550">
        <v>1.43</v>
      </c>
      <c r="F69" s="551">
        <f t="shared" si="0"/>
        <v>6.3492063492063544E-2</v>
      </c>
      <c r="G69" s="551">
        <f t="shared" si="0"/>
        <v>4.8951048951048994E-2</v>
      </c>
    </row>
    <row r="70" spans="1:8" x14ac:dyDescent="0.2">
      <c r="B70" s="549">
        <v>2017</v>
      </c>
      <c r="C70" s="550">
        <v>1.19</v>
      </c>
      <c r="D70" s="550">
        <v>1.36</v>
      </c>
      <c r="F70" s="551">
        <f t="shared" si="0"/>
        <v>5.8823529411764761E-2</v>
      </c>
      <c r="G70" s="551">
        <f t="shared" si="0"/>
        <v>5.1470588235293997E-2</v>
      </c>
    </row>
    <row r="71" spans="1:8" x14ac:dyDescent="0.2">
      <c r="B71" s="549">
        <v>2018</v>
      </c>
      <c r="C71" s="550">
        <v>1.1499999999999999</v>
      </c>
      <c r="D71" s="550">
        <v>1.25</v>
      </c>
      <c r="F71" s="551">
        <f t="shared" si="0"/>
        <v>3.4782608695652209E-2</v>
      </c>
      <c r="G71" s="551">
        <f t="shared" si="0"/>
        <v>8.8000000000000078E-2</v>
      </c>
    </row>
    <row r="72" spans="1:8" x14ac:dyDescent="0.2">
      <c r="B72" s="549">
        <v>2019</v>
      </c>
      <c r="C72" s="550">
        <v>1.1200000000000001</v>
      </c>
      <c r="D72" s="550">
        <v>1.1599999999999999</v>
      </c>
      <c r="F72" s="551">
        <f t="shared" si="0"/>
        <v>2.6785714285714107E-2</v>
      </c>
      <c r="G72" s="551">
        <f t="shared" si="0"/>
        <v>7.7586206896551796E-2</v>
      </c>
    </row>
    <row r="73" spans="1:8" ht="12" customHeight="1" x14ac:dyDescent="0.2">
      <c r="B73" s="549">
        <v>2020</v>
      </c>
      <c r="C73" s="550">
        <v>1.08</v>
      </c>
      <c r="D73" s="550">
        <v>1.0900000000000001</v>
      </c>
      <c r="F73" s="551">
        <f t="shared" si="0"/>
        <v>3.703703703703707E-2</v>
      </c>
      <c r="G73" s="551">
        <f t="shared" si="0"/>
        <v>6.4220183486238383E-2</v>
      </c>
    </row>
    <row r="74" spans="1:8" ht="12" customHeight="1" x14ac:dyDescent="0.2">
      <c r="B74" s="549">
        <v>2021</v>
      </c>
      <c r="C74" s="550">
        <v>1.06</v>
      </c>
      <c r="D74" s="550">
        <v>1.03</v>
      </c>
      <c r="F74" s="551">
        <f t="shared" ref="F74:G74" si="1">+(C73-C74)/C74</f>
        <v>1.8867924528301903E-2</v>
      </c>
      <c r="G74" s="551">
        <f t="shared" si="1"/>
        <v>5.825242718446607E-2</v>
      </c>
    </row>
    <row r="77" spans="1:8" ht="101.25" customHeight="1" x14ac:dyDescent="0.2">
      <c r="A77" s="632" t="s">
        <v>754</v>
      </c>
      <c r="B77" s="632"/>
      <c r="C77" s="632"/>
      <c r="D77" s="632"/>
      <c r="E77" s="632"/>
      <c r="F77" s="632"/>
      <c r="G77" s="632"/>
      <c r="H77" s="632"/>
    </row>
    <row r="81" spans="2:8" x14ac:dyDescent="0.2">
      <c r="B81" s="546" t="s">
        <v>651</v>
      </c>
    </row>
    <row r="83" spans="2:8" x14ac:dyDescent="0.2">
      <c r="B83" s="546" t="s">
        <v>653</v>
      </c>
      <c r="F83" s="546" t="s">
        <v>654</v>
      </c>
    </row>
    <row r="84" spans="2:8" x14ac:dyDescent="0.2">
      <c r="B84" s="546" t="s">
        <v>655</v>
      </c>
      <c r="F84" s="546" t="s">
        <v>656</v>
      </c>
    </row>
    <row r="85" spans="2:8" x14ac:dyDescent="0.2">
      <c r="B85" s="546" t="s">
        <v>652</v>
      </c>
      <c r="F85" s="546" t="s">
        <v>657</v>
      </c>
    </row>
    <row r="87" spans="2:8" x14ac:dyDescent="0.2">
      <c r="B87" s="256"/>
      <c r="C87" s="256"/>
      <c r="D87" s="256"/>
      <c r="E87" s="256"/>
    </row>
    <row r="88" spans="2:8" x14ac:dyDescent="0.2">
      <c r="B88" s="256"/>
      <c r="C88" s="256"/>
      <c r="D88" s="256"/>
      <c r="E88" s="256"/>
    </row>
    <row r="89" spans="2:8" x14ac:dyDescent="0.2">
      <c r="B89" s="256"/>
      <c r="C89" s="256"/>
      <c r="D89" s="256"/>
      <c r="E89" s="256"/>
    </row>
    <row r="90" spans="2:8" x14ac:dyDescent="0.2">
      <c r="B90" s="256" t="s">
        <v>662</v>
      </c>
      <c r="C90" s="552" t="s">
        <v>663</v>
      </c>
      <c r="D90" s="552" t="s">
        <v>664</v>
      </c>
      <c r="E90" s="553" t="s">
        <v>135</v>
      </c>
    </row>
    <row r="91" spans="2:8" x14ac:dyDescent="0.2">
      <c r="B91" s="370" t="s">
        <v>660</v>
      </c>
      <c r="C91" s="256"/>
      <c r="D91" s="256"/>
      <c r="E91" s="256"/>
    </row>
    <row r="92" spans="2:8" x14ac:dyDescent="0.2">
      <c r="B92" s="256" t="s">
        <v>665</v>
      </c>
      <c r="C92" s="256">
        <v>100000</v>
      </c>
      <c r="D92" s="256"/>
      <c r="E92" s="256">
        <f>+C92+D92</f>
        <v>100000</v>
      </c>
      <c r="F92" s="256"/>
      <c r="G92" s="256"/>
      <c r="H92" s="256"/>
    </row>
    <row r="93" spans="2:8" x14ac:dyDescent="0.2">
      <c r="B93" s="256" t="s">
        <v>392</v>
      </c>
      <c r="C93" s="256"/>
      <c r="D93" s="256">
        <v>1200000</v>
      </c>
      <c r="E93" s="256">
        <f t="shared" ref="E93:E94" si="2">+C93+D93</f>
        <v>1200000</v>
      </c>
      <c r="F93" s="256"/>
      <c r="G93" s="256"/>
      <c r="H93" s="256"/>
    </row>
    <row r="94" spans="2:8" x14ac:dyDescent="0.2">
      <c r="B94" s="256" t="s">
        <v>666</v>
      </c>
      <c r="C94" s="256">
        <f>-C92*8%</f>
        <v>-8000</v>
      </c>
      <c r="D94" s="256">
        <v>0</v>
      </c>
      <c r="E94" s="256">
        <f t="shared" si="2"/>
        <v>-8000</v>
      </c>
      <c r="F94" s="256"/>
      <c r="G94" s="256"/>
      <c r="H94" s="256"/>
    </row>
    <row r="95" spans="2:8" x14ac:dyDescent="0.2">
      <c r="B95" s="370" t="s">
        <v>667</v>
      </c>
      <c r="C95" s="370">
        <f>SUM(C92:C94)</f>
        <v>92000</v>
      </c>
      <c r="D95" s="370">
        <f>SUM(D92:D94)</f>
        <v>1200000</v>
      </c>
      <c r="E95" s="370">
        <f>SUM(E92:E94)</f>
        <v>1292000</v>
      </c>
      <c r="F95" s="256"/>
      <c r="G95" s="256"/>
      <c r="H95" s="256"/>
    </row>
    <row r="96" spans="2:8" x14ac:dyDescent="0.2">
      <c r="B96" s="256"/>
      <c r="C96" s="370"/>
      <c r="D96" s="256"/>
      <c r="E96" s="256"/>
      <c r="F96" s="256"/>
      <c r="G96" s="256"/>
      <c r="H96" s="256"/>
    </row>
    <row r="97" spans="2:8" x14ac:dyDescent="0.2">
      <c r="B97" s="256" t="s">
        <v>668</v>
      </c>
      <c r="C97" s="256">
        <v>0</v>
      </c>
      <c r="D97" s="256">
        <v>1100000</v>
      </c>
      <c r="E97" s="256">
        <f t="shared" ref="E97" si="3">+C97+D97</f>
        <v>1100000</v>
      </c>
      <c r="F97" s="551"/>
      <c r="G97" s="256"/>
      <c r="H97" s="256"/>
    </row>
    <row r="98" spans="2:8" x14ac:dyDescent="0.2">
      <c r="C98" s="554">
        <f>+C95-C97</f>
        <v>92000</v>
      </c>
      <c r="D98" s="554">
        <f t="shared" ref="D98:E98" si="4">+D95-D97</f>
        <v>100000</v>
      </c>
      <c r="E98" s="554">
        <f t="shared" si="4"/>
        <v>192000</v>
      </c>
      <c r="F98" s="256"/>
      <c r="G98" s="256"/>
      <c r="H98" s="256"/>
    </row>
    <row r="99" spans="2:8" x14ac:dyDescent="0.2">
      <c r="C99" s="256"/>
      <c r="D99" s="256"/>
      <c r="E99" s="256"/>
      <c r="F99" s="256"/>
      <c r="G99" s="256"/>
      <c r="H99" s="256"/>
    </row>
    <row r="100" spans="2:8" x14ac:dyDescent="0.2">
      <c r="B100" s="546" t="s">
        <v>669</v>
      </c>
      <c r="C100" s="256">
        <v>10000</v>
      </c>
      <c r="D100" s="256">
        <v>0</v>
      </c>
      <c r="E100" s="256">
        <f t="shared" ref="E100:E101" si="5">+C100+D100</f>
        <v>10000</v>
      </c>
      <c r="F100" s="256" t="s">
        <v>672</v>
      </c>
      <c r="G100" s="256"/>
      <c r="H100" s="256"/>
    </row>
    <row r="101" spans="2:8" x14ac:dyDescent="0.2">
      <c r="B101" s="546" t="s">
        <v>659</v>
      </c>
      <c r="C101" s="256">
        <v>10000</v>
      </c>
      <c r="D101" s="256">
        <v>0</v>
      </c>
      <c r="E101" s="256">
        <f t="shared" si="5"/>
        <v>10000</v>
      </c>
      <c r="F101" s="256" t="s">
        <v>672</v>
      </c>
      <c r="G101" s="256"/>
      <c r="H101" s="256"/>
    </row>
    <row r="102" spans="2:8" x14ac:dyDescent="0.2">
      <c r="C102" s="256"/>
      <c r="D102" s="256"/>
      <c r="E102" s="256"/>
      <c r="F102" s="256"/>
      <c r="G102" s="256"/>
      <c r="H102" s="256"/>
    </row>
    <row r="103" spans="2:8" x14ac:dyDescent="0.2">
      <c r="B103" s="546" t="s">
        <v>670</v>
      </c>
      <c r="C103" s="256"/>
      <c r="D103" s="256"/>
      <c r="E103" s="256">
        <f>+E98*40%</f>
        <v>76800</v>
      </c>
      <c r="F103" s="256" t="s">
        <v>671</v>
      </c>
      <c r="G103" s="256"/>
      <c r="H103" s="256"/>
    </row>
    <row r="104" spans="2:8" x14ac:dyDescent="0.2">
      <c r="D104" s="256"/>
      <c r="E104" s="256"/>
      <c r="F104" s="256"/>
      <c r="G104" s="256"/>
      <c r="H104" s="256"/>
    </row>
    <row r="105" spans="2:8" x14ac:dyDescent="0.2">
      <c r="B105" s="555" t="s">
        <v>673</v>
      </c>
      <c r="C105" s="555"/>
      <c r="D105" s="555"/>
      <c r="E105" s="554">
        <f>+E98-E100-E101</f>
        <v>172000</v>
      </c>
    </row>
  </sheetData>
  <mergeCells count="4">
    <mergeCell ref="A3:H3"/>
    <mergeCell ref="B6:B7"/>
    <mergeCell ref="C7:D7"/>
    <mergeCell ref="A77:H77"/>
  </mergeCells>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755AB-D08D-4D94-9F6D-1DCBB6E31536}">
  <dimension ref="B1:AY62"/>
  <sheetViews>
    <sheetView topLeftCell="A25" zoomScale="140" zoomScaleNormal="140" workbookViewId="0">
      <selection activeCell="W32" sqref="W32:AF32"/>
    </sheetView>
  </sheetViews>
  <sheetFormatPr baseColWidth="10" defaultRowHeight="12.75" x14ac:dyDescent="0.2"/>
  <cols>
    <col min="1" max="1" width="1.42578125" style="129" customWidth="1"/>
    <col min="2" max="2" width="3.42578125" style="129" customWidth="1"/>
    <col min="3" max="3" width="2.85546875" style="129" customWidth="1"/>
    <col min="4" max="4" width="1.85546875" style="129" customWidth="1"/>
    <col min="5" max="5" width="3.140625" style="129" customWidth="1"/>
    <col min="6" max="6" width="8.42578125" style="129" customWidth="1"/>
    <col min="7" max="7" width="3.5703125" style="129" customWidth="1"/>
    <col min="8" max="8" width="3.7109375" style="129" customWidth="1"/>
    <col min="9" max="9" width="1.28515625" style="129" customWidth="1"/>
    <col min="10" max="10" width="1.85546875" style="129" customWidth="1"/>
    <col min="11" max="11" width="3.42578125" style="129" customWidth="1"/>
    <col min="12" max="12" width="4" style="129" customWidth="1"/>
    <col min="13" max="13" width="2.7109375" style="129" customWidth="1"/>
    <col min="14" max="14" width="3.42578125" style="129" customWidth="1"/>
    <col min="15" max="15" width="3.7109375" style="129" customWidth="1"/>
    <col min="16" max="16" width="4" style="129" customWidth="1"/>
    <col min="17" max="17" width="2.7109375" style="129" customWidth="1"/>
    <col min="18" max="18" width="5.140625" style="129" customWidth="1"/>
    <col min="19" max="19" width="2.7109375" style="129" customWidth="1"/>
    <col min="20" max="21" width="3.7109375" style="129" customWidth="1"/>
    <col min="22" max="22" width="1.42578125" style="129" customWidth="1"/>
    <col min="23" max="24" width="2.85546875" style="129" customWidth="1"/>
    <col min="25" max="25" width="4" style="129" customWidth="1"/>
    <col min="26" max="26" width="3.28515625" style="129" customWidth="1"/>
    <col min="27" max="27" width="3.140625" style="129" customWidth="1"/>
    <col min="28" max="30" width="3.28515625" style="129" customWidth="1"/>
    <col min="31" max="31" width="5" style="129" customWidth="1"/>
    <col min="32" max="32" width="3.140625" style="129" customWidth="1"/>
    <col min="33" max="33" width="4.28515625" style="129" customWidth="1"/>
    <col min="34" max="35" width="2.85546875" style="129" customWidth="1"/>
    <col min="36" max="36" width="5.140625" style="129" customWidth="1"/>
    <col min="37" max="37" width="3.42578125" style="129" customWidth="1"/>
    <col min="38" max="38" width="2.7109375" style="129" customWidth="1"/>
    <col min="39" max="39" width="2.28515625" style="129" customWidth="1"/>
    <col min="40" max="40" width="4.28515625" style="129" customWidth="1"/>
    <col min="41" max="41" width="17.140625" style="53" customWidth="1"/>
    <col min="42" max="42" width="11.42578125" style="53"/>
    <col min="43" max="48" width="11.42578125" style="129"/>
    <col min="49" max="51" width="12.5703125" style="129" hidden="1" customWidth="1"/>
    <col min="52" max="257" width="11.42578125" style="129"/>
    <col min="258" max="258" width="1.42578125" style="129" customWidth="1"/>
    <col min="259" max="259" width="4.28515625" style="129" customWidth="1"/>
    <col min="260" max="260" width="2.85546875" style="129" customWidth="1"/>
    <col min="261" max="261" width="3.42578125" style="129" customWidth="1"/>
    <col min="262" max="262" width="3.140625" style="129" customWidth="1"/>
    <col min="263" max="263" width="3.42578125" style="129" customWidth="1"/>
    <col min="264" max="264" width="3.5703125" style="129" customWidth="1"/>
    <col min="265" max="265" width="3.7109375" style="129" customWidth="1"/>
    <col min="266" max="266" width="3.140625" style="129" customWidth="1"/>
    <col min="267" max="267" width="3.28515625" style="129" customWidth="1"/>
    <col min="268" max="270" width="3.42578125" style="129" customWidth="1"/>
    <col min="271" max="271" width="3" style="129" customWidth="1"/>
    <col min="272" max="272" width="2.7109375" style="129" customWidth="1"/>
    <col min="273" max="273" width="2.85546875" style="129" customWidth="1"/>
    <col min="274" max="274" width="2.7109375" style="129" customWidth="1"/>
    <col min="275" max="275" width="3.85546875" style="129" customWidth="1"/>
    <col min="276" max="276" width="2.7109375" style="129" customWidth="1"/>
    <col min="277" max="277" width="3.7109375" style="129" customWidth="1"/>
    <col min="278" max="278" width="2.7109375" style="129" customWidth="1"/>
    <col min="279" max="279" width="3" style="129" customWidth="1"/>
    <col min="280" max="282" width="2.85546875" style="129" customWidth="1"/>
    <col min="283" max="283" width="3.28515625" style="129" customWidth="1"/>
    <col min="284" max="284" width="3.140625" style="129" customWidth="1"/>
    <col min="285" max="287" width="3.28515625" style="129" customWidth="1"/>
    <col min="288" max="288" width="3" style="129" customWidth="1"/>
    <col min="289" max="289" width="3.140625" style="129" customWidth="1"/>
    <col min="290" max="290" width="3.5703125" style="129" customWidth="1"/>
    <col min="291" max="292" width="2.85546875" style="129" customWidth="1"/>
    <col min="293" max="293" width="3.42578125" style="129" customWidth="1"/>
    <col min="294" max="294" width="2.7109375" style="129" customWidth="1"/>
    <col min="295" max="295" width="2.28515625" style="129" customWidth="1"/>
    <col min="296" max="513" width="11.42578125" style="129"/>
    <col min="514" max="514" width="1.42578125" style="129" customWidth="1"/>
    <col min="515" max="515" width="4.28515625" style="129" customWidth="1"/>
    <col min="516" max="516" width="2.85546875" style="129" customWidth="1"/>
    <col min="517" max="517" width="3.42578125" style="129" customWidth="1"/>
    <col min="518" max="518" width="3.140625" style="129" customWidth="1"/>
    <col min="519" max="519" width="3.42578125" style="129" customWidth="1"/>
    <col min="520" max="520" width="3.5703125" style="129" customWidth="1"/>
    <col min="521" max="521" width="3.7109375" style="129" customWidth="1"/>
    <col min="522" max="522" width="3.140625" style="129" customWidth="1"/>
    <col min="523" max="523" width="3.28515625" style="129" customWidth="1"/>
    <col min="524" max="526" width="3.42578125" style="129" customWidth="1"/>
    <col min="527" max="527" width="3" style="129" customWidth="1"/>
    <col min="528" max="528" width="2.7109375" style="129" customWidth="1"/>
    <col min="529" max="529" width="2.85546875" style="129" customWidth="1"/>
    <col min="530" max="530" width="2.7109375" style="129" customWidth="1"/>
    <col min="531" max="531" width="3.85546875" style="129" customWidth="1"/>
    <col min="532" max="532" width="2.7109375" style="129" customWidth="1"/>
    <col min="533" max="533" width="3.7109375" style="129" customWidth="1"/>
    <col min="534" max="534" width="2.7109375" style="129" customWidth="1"/>
    <col min="535" max="535" width="3" style="129" customWidth="1"/>
    <col min="536" max="538" width="2.85546875" style="129" customWidth="1"/>
    <col min="539" max="539" width="3.28515625" style="129" customWidth="1"/>
    <col min="540" max="540" width="3.140625" style="129" customWidth="1"/>
    <col min="541" max="543" width="3.28515625" style="129" customWidth="1"/>
    <col min="544" max="544" width="3" style="129" customWidth="1"/>
    <col min="545" max="545" width="3.140625" style="129" customWidth="1"/>
    <col min="546" max="546" width="3.5703125" style="129" customWidth="1"/>
    <col min="547" max="548" width="2.85546875" style="129" customWidth="1"/>
    <col min="549" max="549" width="3.42578125" style="129" customWidth="1"/>
    <col min="550" max="550" width="2.7109375" style="129" customWidth="1"/>
    <col min="551" max="551" width="2.28515625" style="129" customWidth="1"/>
    <col min="552" max="769" width="11.42578125" style="129"/>
    <col min="770" max="770" width="1.42578125" style="129" customWidth="1"/>
    <col min="771" max="771" width="4.28515625" style="129" customWidth="1"/>
    <col min="772" max="772" width="2.85546875" style="129" customWidth="1"/>
    <col min="773" max="773" width="3.42578125" style="129" customWidth="1"/>
    <col min="774" max="774" width="3.140625" style="129" customWidth="1"/>
    <col min="775" max="775" width="3.42578125" style="129" customWidth="1"/>
    <col min="776" max="776" width="3.5703125" style="129" customWidth="1"/>
    <col min="777" max="777" width="3.7109375" style="129" customWidth="1"/>
    <col min="778" max="778" width="3.140625" style="129" customWidth="1"/>
    <col min="779" max="779" width="3.28515625" style="129" customWidth="1"/>
    <col min="780" max="782" width="3.42578125" style="129" customWidth="1"/>
    <col min="783" max="783" width="3" style="129" customWidth="1"/>
    <col min="784" max="784" width="2.7109375" style="129" customWidth="1"/>
    <col min="785" max="785" width="2.85546875" style="129" customWidth="1"/>
    <col min="786" max="786" width="2.7109375" style="129" customWidth="1"/>
    <col min="787" max="787" width="3.85546875" style="129" customWidth="1"/>
    <col min="788" max="788" width="2.7109375" style="129" customWidth="1"/>
    <col min="789" max="789" width="3.7109375" style="129" customWidth="1"/>
    <col min="790" max="790" width="2.7109375" style="129" customWidth="1"/>
    <col min="791" max="791" width="3" style="129" customWidth="1"/>
    <col min="792" max="794" width="2.85546875" style="129" customWidth="1"/>
    <col min="795" max="795" width="3.28515625" style="129" customWidth="1"/>
    <col min="796" max="796" width="3.140625" style="129" customWidth="1"/>
    <col min="797" max="799" width="3.28515625" style="129" customWidth="1"/>
    <col min="800" max="800" width="3" style="129" customWidth="1"/>
    <col min="801" max="801" width="3.140625" style="129" customWidth="1"/>
    <col min="802" max="802" width="3.5703125" style="129" customWidth="1"/>
    <col min="803" max="804" width="2.85546875" style="129" customWidth="1"/>
    <col min="805" max="805" width="3.42578125" style="129" customWidth="1"/>
    <col min="806" max="806" width="2.7109375" style="129" customWidth="1"/>
    <col min="807" max="807" width="2.28515625" style="129" customWidth="1"/>
    <col min="808" max="1025" width="11.42578125" style="129"/>
    <col min="1026" max="1026" width="1.42578125" style="129" customWidth="1"/>
    <col min="1027" max="1027" width="4.28515625" style="129" customWidth="1"/>
    <col min="1028" max="1028" width="2.85546875" style="129" customWidth="1"/>
    <col min="1029" max="1029" width="3.42578125" style="129" customWidth="1"/>
    <col min="1030" max="1030" width="3.140625" style="129" customWidth="1"/>
    <col min="1031" max="1031" width="3.42578125" style="129" customWidth="1"/>
    <col min="1032" max="1032" width="3.5703125" style="129" customWidth="1"/>
    <col min="1033" max="1033" width="3.7109375" style="129" customWidth="1"/>
    <col min="1034" max="1034" width="3.140625" style="129" customWidth="1"/>
    <col min="1035" max="1035" width="3.28515625" style="129" customWidth="1"/>
    <col min="1036" max="1038" width="3.42578125" style="129" customWidth="1"/>
    <col min="1039" max="1039" width="3" style="129" customWidth="1"/>
    <col min="1040" max="1040" width="2.7109375" style="129" customWidth="1"/>
    <col min="1041" max="1041" width="2.85546875" style="129" customWidth="1"/>
    <col min="1042" max="1042" width="2.7109375" style="129" customWidth="1"/>
    <col min="1043" max="1043" width="3.85546875" style="129" customWidth="1"/>
    <col min="1044" max="1044" width="2.7109375" style="129" customWidth="1"/>
    <col min="1045" max="1045" width="3.7109375" style="129" customWidth="1"/>
    <col min="1046" max="1046" width="2.7109375" style="129" customWidth="1"/>
    <col min="1047" max="1047" width="3" style="129" customWidth="1"/>
    <col min="1048" max="1050" width="2.85546875" style="129" customWidth="1"/>
    <col min="1051" max="1051" width="3.28515625" style="129" customWidth="1"/>
    <col min="1052" max="1052" width="3.140625" style="129" customWidth="1"/>
    <col min="1053" max="1055" width="3.28515625" style="129" customWidth="1"/>
    <col min="1056" max="1056" width="3" style="129" customWidth="1"/>
    <col min="1057" max="1057" width="3.140625" style="129" customWidth="1"/>
    <col min="1058" max="1058" width="3.5703125" style="129" customWidth="1"/>
    <col min="1059" max="1060" width="2.85546875" style="129" customWidth="1"/>
    <col min="1061" max="1061" width="3.42578125" style="129" customWidth="1"/>
    <col min="1062" max="1062" width="2.7109375" style="129" customWidth="1"/>
    <col min="1063" max="1063" width="2.28515625" style="129" customWidth="1"/>
    <col min="1064" max="1281" width="11.42578125" style="129"/>
    <col min="1282" max="1282" width="1.42578125" style="129" customWidth="1"/>
    <col min="1283" max="1283" width="4.28515625" style="129" customWidth="1"/>
    <col min="1284" max="1284" width="2.85546875" style="129" customWidth="1"/>
    <col min="1285" max="1285" width="3.42578125" style="129" customWidth="1"/>
    <col min="1286" max="1286" width="3.140625" style="129" customWidth="1"/>
    <col min="1287" max="1287" width="3.42578125" style="129" customWidth="1"/>
    <col min="1288" max="1288" width="3.5703125" style="129" customWidth="1"/>
    <col min="1289" max="1289" width="3.7109375" style="129" customWidth="1"/>
    <col min="1290" max="1290" width="3.140625" style="129" customWidth="1"/>
    <col min="1291" max="1291" width="3.28515625" style="129" customWidth="1"/>
    <col min="1292" max="1294" width="3.42578125" style="129" customWidth="1"/>
    <col min="1295" max="1295" width="3" style="129" customWidth="1"/>
    <col min="1296" max="1296" width="2.7109375" style="129" customWidth="1"/>
    <col min="1297" max="1297" width="2.85546875" style="129" customWidth="1"/>
    <col min="1298" max="1298" width="2.7109375" style="129" customWidth="1"/>
    <col min="1299" max="1299" width="3.85546875" style="129" customWidth="1"/>
    <col min="1300" max="1300" width="2.7109375" style="129" customWidth="1"/>
    <col min="1301" max="1301" width="3.7109375" style="129" customWidth="1"/>
    <col min="1302" max="1302" width="2.7109375" style="129" customWidth="1"/>
    <col min="1303" max="1303" width="3" style="129" customWidth="1"/>
    <col min="1304" max="1306" width="2.85546875" style="129" customWidth="1"/>
    <col min="1307" max="1307" width="3.28515625" style="129" customWidth="1"/>
    <col min="1308" max="1308" width="3.140625" style="129" customWidth="1"/>
    <col min="1309" max="1311" width="3.28515625" style="129" customWidth="1"/>
    <col min="1312" max="1312" width="3" style="129" customWidth="1"/>
    <col min="1313" max="1313" width="3.140625" style="129" customWidth="1"/>
    <col min="1314" max="1314" width="3.5703125" style="129" customWidth="1"/>
    <col min="1315" max="1316" width="2.85546875" style="129" customWidth="1"/>
    <col min="1317" max="1317" width="3.42578125" style="129" customWidth="1"/>
    <col min="1318" max="1318" width="2.7109375" style="129" customWidth="1"/>
    <col min="1319" max="1319" width="2.28515625" style="129" customWidth="1"/>
    <col min="1320" max="1537" width="11.42578125" style="129"/>
    <col min="1538" max="1538" width="1.42578125" style="129" customWidth="1"/>
    <col min="1539" max="1539" width="4.28515625" style="129" customWidth="1"/>
    <col min="1540" max="1540" width="2.85546875" style="129" customWidth="1"/>
    <col min="1541" max="1541" width="3.42578125" style="129" customWidth="1"/>
    <col min="1542" max="1542" width="3.140625" style="129" customWidth="1"/>
    <col min="1543" max="1543" width="3.42578125" style="129" customWidth="1"/>
    <col min="1544" max="1544" width="3.5703125" style="129" customWidth="1"/>
    <col min="1545" max="1545" width="3.7109375" style="129" customWidth="1"/>
    <col min="1546" max="1546" width="3.140625" style="129" customWidth="1"/>
    <col min="1547" max="1547" width="3.28515625" style="129" customWidth="1"/>
    <col min="1548" max="1550" width="3.42578125" style="129" customWidth="1"/>
    <col min="1551" max="1551" width="3" style="129" customWidth="1"/>
    <col min="1552" max="1552" width="2.7109375" style="129" customWidth="1"/>
    <col min="1553" max="1553" width="2.85546875" style="129" customWidth="1"/>
    <col min="1554" max="1554" width="2.7109375" style="129" customWidth="1"/>
    <col min="1555" max="1555" width="3.85546875" style="129" customWidth="1"/>
    <col min="1556" max="1556" width="2.7109375" style="129" customWidth="1"/>
    <col min="1557" max="1557" width="3.7109375" style="129" customWidth="1"/>
    <col min="1558" max="1558" width="2.7109375" style="129" customWidth="1"/>
    <col min="1559" max="1559" width="3" style="129" customWidth="1"/>
    <col min="1560" max="1562" width="2.85546875" style="129" customWidth="1"/>
    <col min="1563" max="1563" width="3.28515625" style="129" customWidth="1"/>
    <col min="1564" max="1564" width="3.140625" style="129" customWidth="1"/>
    <col min="1565" max="1567" width="3.28515625" style="129" customWidth="1"/>
    <col min="1568" max="1568" width="3" style="129" customWidth="1"/>
    <col min="1569" max="1569" width="3.140625" style="129" customWidth="1"/>
    <col min="1570" max="1570" width="3.5703125" style="129" customWidth="1"/>
    <col min="1571" max="1572" width="2.85546875" style="129" customWidth="1"/>
    <col min="1573" max="1573" width="3.42578125" style="129" customWidth="1"/>
    <col min="1574" max="1574" width="2.7109375" style="129" customWidth="1"/>
    <col min="1575" max="1575" width="2.28515625" style="129" customWidth="1"/>
    <col min="1576" max="1793" width="11.42578125" style="129"/>
    <col min="1794" max="1794" width="1.42578125" style="129" customWidth="1"/>
    <col min="1795" max="1795" width="4.28515625" style="129" customWidth="1"/>
    <col min="1796" max="1796" width="2.85546875" style="129" customWidth="1"/>
    <col min="1797" max="1797" width="3.42578125" style="129" customWidth="1"/>
    <col min="1798" max="1798" width="3.140625" style="129" customWidth="1"/>
    <col min="1799" max="1799" width="3.42578125" style="129" customWidth="1"/>
    <col min="1800" max="1800" width="3.5703125" style="129" customWidth="1"/>
    <col min="1801" max="1801" width="3.7109375" style="129" customWidth="1"/>
    <col min="1802" max="1802" width="3.140625" style="129" customWidth="1"/>
    <col min="1803" max="1803" width="3.28515625" style="129" customWidth="1"/>
    <col min="1804" max="1806" width="3.42578125" style="129" customWidth="1"/>
    <col min="1807" max="1807" width="3" style="129" customWidth="1"/>
    <col min="1808" max="1808" width="2.7109375" style="129" customWidth="1"/>
    <col min="1809" max="1809" width="2.85546875" style="129" customWidth="1"/>
    <col min="1810" max="1810" width="2.7109375" style="129" customWidth="1"/>
    <col min="1811" max="1811" width="3.85546875" style="129" customWidth="1"/>
    <col min="1812" max="1812" width="2.7109375" style="129" customWidth="1"/>
    <col min="1813" max="1813" width="3.7109375" style="129" customWidth="1"/>
    <col min="1814" max="1814" width="2.7109375" style="129" customWidth="1"/>
    <col min="1815" max="1815" width="3" style="129" customWidth="1"/>
    <col min="1816" max="1818" width="2.85546875" style="129" customWidth="1"/>
    <col min="1819" max="1819" width="3.28515625" style="129" customWidth="1"/>
    <col min="1820" max="1820" width="3.140625" style="129" customWidth="1"/>
    <col min="1821" max="1823" width="3.28515625" style="129" customWidth="1"/>
    <col min="1824" max="1824" width="3" style="129" customWidth="1"/>
    <col min="1825" max="1825" width="3.140625" style="129" customWidth="1"/>
    <col min="1826" max="1826" width="3.5703125" style="129" customWidth="1"/>
    <col min="1827" max="1828" width="2.85546875" style="129" customWidth="1"/>
    <col min="1829" max="1829" width="3.42578125" style="129" customWidth="1"/>
    <col min="1830" max="1830" width="2.7109375" style="129" customWidth="1"/>
    <col min="1831" max="1831" width="2.28515625" style="129" customWidth="1"/>
    <col min="1832" max="2049" width="11.42578125" style="129"/>
    <col min="2050" max="2050" width="1.42578125" style="129" customWidth="1"/>
    <col min="2051" max="2051" width="4.28515625" style="129" customWidth="1"/>
    <col min="2052" max="2052" width="2.85546875" style="129" customWidth="1"/>
    <col min="2053" max="2053" width="3.42578125" style="129" customWidth="1"/>
    <col min="2054" max="2054" width="3.140625" style="129" customWidth="1"/>
    <col min="2055" max="2055" width="3.42578125" style="129" customWidth="1"/>
    <col min="2056" max="2056" width="3.5703125" style="129" customWidth="1"/>
    <col min="2057" max="2057" width="3.7109375" style="129" customWidth="1"/>
    <col min="2058" max="2058" width="3.140625" style="129" customWidth="1"/>
    <col min="2059" max="2059" width="3.28515625" style="129" customWidth="1"/>
    <col min="2060" max="2062" width="3.42578125" style="129" customWidth="1"/>
    <col min="2063" max="2063" width="3" style="129" customWidth="1"/>
    <col min="2064" max="2064" width="2.7109375" style="129" customWidth="1"/>
    <col min="2065" max="2065" width="2.85546875" style="129" customWidth="1"/>
    <col min="2066" max="2066" width="2.7109375" style="129" customWidth="1"/>
    <col min="2067" max="2067" width="3.85546875" style="129" customWidth="1"/>
    <col min="2068" max="2068" width="2.7109375" style="129" customWidth="1"/>
    <col min="2069" max="2069" width="3.7109375" style="129" customWidth="1"/>
    <col min="2070" max="2070" width="2.7109375" style="129" customWidth="1"/>
    <col min="2071" max="2071" width="3" style="129" customWidth="1"/>
    <col min="2072" max="2074" width="2.85546875" style="129" customWidth="1"/>
    <col min="2075" max="2075" width="3.28515625" style="129" customWidth="1"/>
    <col min="2076" max="2076" width="3.140625" style="129" customWidth="1"/>
    <col min="2077" max="2079" width="3.28515625" style="129" customWidth="1"/>
    <col min="2080" max="2080" width="3" style="129" customWidth="1"/>
    <col min="2081" max="2081" width="3.140625" style="129" customWidth="1"/>
    <col min="2082" max="2082" width="3.5703125" style="129" customWidth="1"/>
    <col min="2083" max="2084" width="2.85546875" style="129" customWidth="1"/>
    <col min="2085" max="2085" width="3.42578125" style="129" customWidth="1"/>
    <col min="2086" max="2086" width="2.7109375" style="129" customWidth="1"/>
    <col min="2087" max="2087" width="2.28515625" style="129" customWidth="1"/>
    <col min="2088" max="2305" width="11.42578125" style="129"/>
    <col min="2306" max="2306" width="1.42578125" style="129" customWidth="1"/>
    <col min="2307" max="2307" width="4.28515625" style="129" customWidth="1"/>
    <col min="2308" max="2308" width="2.85546875" style="129" customWidth="1"/>
    <col min="2309" max="2309" width="3.42578125" style="129" customWidth="1"/>
    <col min="2310" max="2310" width="3.140625" style="129" customWidth="1"/>
    <col min="2311" max="2311" width="3.42578125" style="129" customWidth="1"/>
    <col min="2312" max="2312" width="3.5703125" style="129" customWidth="1"/>
    <col min="2313" max="2313" width="3.7109375" style="129" customWidth="1"/>
    <col min="2314" max="2314" width="3.140625" style="129" customWidth="1"/>
    <col min="2315" max="2315" width="3.28515625" style="129" customWidth="1"/>
    <col min="2316" max="2318" width="3.42578125" style="129" customWidth="1"/>
    <col min="2319" max="2319" width="3" style="129" customWidth="1"/>
    <col min="2320" max="2320" width="2.7109375" style="129" customWidth="1"/>
    <col min="2321" max="2321" width="2.85546875" style="129" customWidth="1"/>
    <col min="2322" max="2322" width="2.7109375" style="129" customWidth="1"/>
    <col min="2323" max="2323" width="3.85546875" style="129" customWidth="1"/>
    <col min="2324" max="2324" width="2.7109375" style="129" customWidth="1"/>
    <col min="2325" max="2325" width="3.7109375" style="129" customWidth="1"/>
    <col min="2326" max="2326" width="2.7109375" style="129" customWidth="1"/>
    <col min="2327" max="2327" width="3" style="129" customWidth="1"/>
    <col min="2328" max="2330" width="2.85546875" style="129" customWidth="1"/>
    <col min="2331" max="2331" width="3.28515625" style="129" customWidth="1"/>
    <col min="2332" max="2332" width="3.140625" style="129" customWidth="1"/>
    <col min="2333" max="2335" width="3.28515625" style="129" customWidth="1"/>
    <col min="2336" max="2336" width="3" style="129" customWidth="1"/>
    <col min="2337" max="2337" width="3.140625" style="129" customWidth="1"/>
    <col min="2338" max="2338" width="3.5703125" style="129" customWidth="1"/>
    <col min="2339" max="2340" width="2.85546875" style="129" customWidth="1"/>
    <col min="2341" max="2341" width="3.42578125" style="129" customWidth="1"/>
    <col min="2342" max="2342" width="2.7109375" style="129" customWidth="1"/>
    <col min="2343" max="2343" width="2.28515625" style="129" customWidth="1"/>
    <col min="2344" max="2561" width="11.42578125" style="129"/>
    <col min="2562" max="2562" width="1.42578125" style="129" customWidth="1"/>
    <col min="2563" max="2563" width="4.28515625" style="129" customWidth="1"/>
    <col min="2564" max="2564" width="2.85546875" style="129" customWidth="1"/>
    <col min="2565" max="2565" width="3.42578125" style="129" customWidth="1"/>
    <col min="2566" max="2566" width="3.140625" style="129" customWidth="1"/>
    <col min="2567" max="2567" width="3.42578125" style="129" customWidth="1"/>
    <col min="2568" max="2568" width="3.5703125" style="129" customWidth="1"/>
    <col min="2569" max="2569" width="3.7109375" style="129" customWidth="1"/>
    <col min="2570" max="2570" width="3.140625" style="129" customWidth="1"/>
    <col min="2571" max="2571" width="3.28515625" style="129" customWidth="1"/>
    <col min="2572" max="2574" width="3.42578125" style="129" customWidth="1"/>
    <col min="2575" max="2575" width="3" style="129" customWidth="1"/>
    <col min="2576" max="2576" width="2.7109375" style="129" customWidth="1"/>
    <col min="2577" max="2577" width="2.85546875" style="129" customWidth="1"/>
    <col min="2578" max="2578" width="2.7109375" style="129" customWidth="1"/>
    <col min="2579" max="2579" width="3.85546875" style="129" customWidth="1"/>
    <col min="2580" max="2580" width="2.7109375" style="129" customWidth="1"/>
    <col min="2581" max="2581" width="3.7109375" style="129" customWidth="1"/>
    <col min="2582" max="2582" width="2.7109375" style="129" customWidth="1"/>
    <col min="2583" max="2583" width="3" style="129" customWidth="1"/>
    <col min="2584" max="2586" width="2.85546875" style="129" customWidth="1"/>
    <col min="2587" max="2587" width="3.28515625" style="129" customWidth="1"/>
    <col min="2588" max="2588" width="3.140625" style="129" customWidth="1"/>
    <col min="2589" max="2591" width="3.28515625" style="129" customWidth="1"/>
    <col min="2592" max="2592" width="3" style="129" customWidth="1"/>
    <col min="2593" max="2593" width="3.140625" style="129" customWidth="1"/>
    <col min="2594" max="2594" width="3.5703125" style="129" customWidth="1"/>
    <col min="2595" max="2596" width="2.85546875" style="129" customWidth="1"/>
    <col min="2597" max="2597" width="3.42578125" style="129" customWidth="1"/>
    <col min="2598" max="2598" width="2.7109375" style="129" customWidth="1"/>
    <col min="2599" max="2599" width="2.28515625" style="129" customWidth="1"/>
    <col min="2600" max="2817" width="11.42578125" style="129"/>
    <col min="2818" max="2818" width="1.42578125" style="129" customWidth="1"/>
    <col min="2819" max="2819" width="4.28515625" style="129" customWidth="1"/>
    <col min="2820" max="2820" width="2.85546875" style="129" customWidth="1"/>
    <col min="2821" max="2821" width="3.42578125" style="129" customWidth="1"/>
    <col min="2822" max="2822" width="3.140625" style="129" customWidth="1"/>
    <col min="2823" max="2823" width="3.42578125" style="129" customWidth="1"/>
    <col min="2824" max="2824" width="3.5703125" style="129" customWidth="1"/>
    <col min="2825" max="2825" width="3.7109375" style="129" customWidth="1"/>
    <col min="2826" max="2826" width="3.140625" style="129" customWidth="1"/>
    <col min="2827" max="2827" width="3.28515625" style="129" customWidth="1"/>
    <col min="2828" max="2830" width="3.42578125" style="129" customWidth="1"/>
    <col min="2831" max="2831" width="3" style="129" customWidth="1"/>
    <col min="2832" max="2832" width="2.7109375" style="129" customWidth="1"/>
    <col min="2833" max="2833" width="2.85546875" style="129" customWidth="1"/>
    <col min="2834" max="2834" width="2.7109375" style="129" customWidth="1"/>
    <col min="2835" max="2835" width="3.85546875" style="129" customWidth="1"/>
    <col min="2836" max="2836" width="2.7109375" style="129" customWidth="1"/>
    <col min="2837" max="2837" width="3.7109375" style="129" customWidth="1"/>
    <col min="2838" max="2838" width="2.7109375" style="129" customWidth="1"/>
    <col min="2839" max="2839" width="3" style="129" customWidth="1"/>
    <col min="2840" max="2842" width="2.85546875" style="129" customWidth="1"/>
    <col min="2843" max="2843" width="3.28515625" style="129" customWidth="1"/>
    <col min="2844" max="2844" width="3.140625" style="129" customWidth="1"/>
    <col min="2845" max="2847" width="3.28515625" style="129" customWidth="1"/>
    <col min="2848" max="2848" width="3" style="129" customWidth="1"/>
    <col min="2849" max="2849" width="3.140625" style="129" customWidth="1"/>
    <col min="2850" max="2850" width="3.5703125" style="129" customWidth="1"/>
    <col min="2851" max="2852" width="2.85546875" style="129" customWidth="1"/>
    <col min="2853" max="2853" width="3.42578125" style="129" customWidth="1"/>
    <col min="2854" max="2854" width="2.7109375" style="129" customWidth="1"/>
    <col min="2855" max="2855" width="2.28515625" style="129" customWidth="1"/>
    <col min="2856" max="3073" width="11.42578125" style="129"/>
    <col min="3074" max="3074" width="1.42578125" style="129" customWidth="1"/>
    <col min="3075" max="3075" width="4.28515625" style="129" customWidth="1"/>
    <col min="3076" max="3076" width="2.85546875" style="129" customWidth="1"/>
    <col min="3077" max="3077" width="3.42578125" style="129" customWidth="1"/>
    <col min="3078" max="3078" width="3.140625" style="129" customWidth="1"/>
    <col min="3079" max="3079" width="3.42578125" style="129" customWidth="1"/>
    <col min="3080" max="3080" width="3.5703125" style="129" customWidth="1"/>
    <col min="3081" max="3081" width="3.7109375" style="129" customWidth="1"/>
    <col min="3082" max="3082" width="3.140625" style="129" customWidth="1"/>
    <col min="3083" max="3083" width="3.28515625" style="129" customWidth="1"/>
    <col min="3084" max="3086" width="3.42578125" style="129" customWidth="1"/>
    <col min="3087" max="3087" width="3" style="129" customWidth="1"/>
    <col min="3088" max="3088" width="2.7109375" style="129" customWidth="1"/>
    <col min="3089" max="3089" width="2.85546875" style="129" customWidth="1"/>
    <col min="3090" max="3090" width="2.7109375" style="129" customWidth="1"/>
    <col min="3091" max="3091" width="3.85546875" style="129" customWidth="1"/>
    <col min="3092" max="3092" width="2.7109375" style="129" customWidth="1"/>
    <col min="3093" max="3093" width="3.7109375" style="129" customWidth="1"/>
    <col min="3094" max="3094" width="2.7109375" style="129" customWidth="1"/>
    <col min="3095" max="3095" width="3" style="129" customWidth="1"/>
    <col min="3096" max="3098" width="2.85546875" style="129" customWidth="1"/>
    <col min="3099" max="3099" width="3.28515625" style="129" customWidth="1"/>
    <col min="3100" max="3100" width="3.140625" style="129" customWidth="1"/>
    <col min="3101" max="3103" width="3.28515625" style="129" customWidth="1"/>
    <col min="3104" max="3104" width="3" style="129" customWidth="1"/>
    <col min="3105" max="3105" width="3.140625" style="129" customWidth="1"/>
    <col min="3106" max="3106" width="3.5703125" style="129" customWidth="1"/>
    <col min="3107" max="3108" width="2.85546875" style="129" customWidth="1"/>
    <col min="3109" max="3109" width="3.42578125" style="129" customWidth="1"/>
    <col min="3110" max="3110" width="2.7109375" style="129" customWidth="1"/>
    <col min="3111" max="3111" width="2.28515625" style="129" customWidth="1"/>
    <col min="3112" max="3329" width="11.42578125" style="129"/>
    <col min="3330" max="3330" width="1.42578125" style="129" customWidth="1"/>
    <col min="3331" max="3331" width="4.28515625" style="129" customWidth="1"/>
    <col min="3332" max="3332" width="2.85546875" style="129" customWidth="1"/>
    <col min="3333" max="3333" width="3.42578125" style="129" customWidth="1"/>
    <col min="3334" max="3334" width="3.140625" style="129" customWidth="1"/>
    <col min="3335" max="3335" width="3.42578125" style="129" customWidth="1"/>
    <col min="3336" max="3336" width="3.5703125" style="129" customWidth="1"/>
    <col min="3337" max="3337" width="3.7109375" style="129" customWidth="1"/>
    <col min="3338" max="3338" width="3.140625" style="129" customWidth="1"/>
    <col min="3339" max="3339" width="3.28515625" style="129" customWidth="1"/>
    <col min="3340" max="3342" width="3.42578125" style="129" customWidth="1"/>
    <col min="3343" max="3343" width="3" style="129" customWidth="1"/>
    <col min="3344" max="3344" width="2.7109375" style="129" customWidth="1"/>
    <col min="3345" max="3345" width="2.85546875" style="129" customWidth="1"/>
    <col min="3346" max="3346" width="2.7109375" style="129" customWidth="1"/>
    <col min="3347" max="3347" width="3.85546875" style="129" customWidth="1"/>
    <col min="3348" max="3348" width="2.7109375" style="129" customWidth="1"/>
    <col min="3349" max="3349" width="3.7109375" style="129" customWidth="1"/>
    <col min="3350" max="3350" width="2.7109375" style="129" customWidth="1"/>
    <col min="3351" max="3351" width="3" style="129" customWidth="1"/>
    <col min="3352" max="3354" width="2.85546875" style="129" customWidth="1"/>
    <col min="3355" max="3355" width="3.28515625" style="129" customWidth="1"/>
    <col min="3356" max="3356" width="3.140625" style="129" customWidth="1"/>
    <col min="3357" max="3359" width="3.28515625" style="129" customWidth="1"/>
    <col min="3360" max="3360" width="3" style="129" customWidth="1"/>
    <col min="3361" max="3361" width="3.140625" style="129" customWidth="1"/>
    <col min="3362" max="3362" width="3.5703125" style="129" customWidth="1"/>
    <col min="3363" max="3364" width="2.85546875" style="129" customWidth="1"/>
    <col min="3365" max="3365" width="3.42578125" style="129" customWidth="1"/>
    <col min="3366" max="3366" width="2.7109375" style="129" customWidth="1"/>
    <col min="3367" max="3367" width="2.28515625" style="129" customWidth="1"/>
    <col min="3368" max="3585" width="11.42578125" style="129"/>
    <col min="3586" max="3586" width="1.42578125" style="129" customWidth="1"/>
    <col min="3587" max="3587" width="4.28515625" style="129" customWidth="1"/>
    <col min="3588" max="3588" width="2.85546875" style="129" customWidth="1"/>
    <col min="3589" max="3589" width="3.42578125" style="129" customWidth="1"/>
    <col min="3590" max="3590" width="3.140625" style="129" customWidth="1"/>
    <col min="3591" max="3591" width="3.42578125" style="129" customWidth="1"/>
    <col min="3592" max="3592" width="3.5703125" style="129" customWidth="1"/>
    <col min="3593" max="3593" width="3.7109375" style="129" customWidth="1"/>
    <col min="3594" max="3594" width="3.140625" style="129" customWidth="1"/>
    <col min="3595" max="3595" width="3.28515625" style="129" customWidth="1"/>
    <col min="3596" max="3598" width="3.42578125" style="129" customWidth="1"/>
    <col min="3599" max="3599" width="3" style="129" customWidth="1"/>
    <col min="3600" max="3600" width="2.7109375" style="129" customWidth="1"/>
    <col min="3601" max="3601" width="2.85546875" style="129" customWidth="1"/>
    <col min="3602" max="3602" width="2.7109375" style="129" customWidth="1"/>
    <col min="3603" max="3603" width="3.85546875" style="129" customWidth="1"/>
    <col min="3604" max="3604" width="2.7109375" style="129" customWidth="1"/>
    <col min="3605" max="3605" width="3.7109375" style="129" customWidth="1"/>
    <col min="3606" max="3606" width="2.7109375" style="129" customWidth="1"/>
    <col min="3607" max="3607" width="3" style="129" customWidth="1"/>
    <col min="3608" max="3610" width="2.85546875" style="129" customWidth="1"/>
    <col min="3611" max="3611" width="3.28515625" style="129" customWidth="1"/>
    <col min="3612" max="3612" width="3.140625" style="129" customWidth="1"/>
    <col min="3613" max="3615" width="3.28515625" style="129" customWidth="1"/>
    <col min="3616" max="3616" width="3" style="129" customWidth="1"/>
    <col min="3617" max="3617" width="3.140625" style="129" customWidth="1"/>
    <col min="3618" max="3618" width="3.5703125" style="129" customWidth="1"/>
    <col min="3619" max="3620" width="2.85546875" style="129" customWidth="1"/>
    <col min="3621" max="3621" width="3.42578125" style="129" customWidth="1"/>
    <col min="3622" max="3622" width="2.7109375" style="129" customWidth="1"/>
    <col min="3623" max="3623" width="2.28515625" style="129" customWidth="1"/>
    <col min="3624" max="3841" width="11.42578125" style="129"/>
    <col min="3842" max="3842" width="1.42578125" style="129" customWidth="1"/>
    <col min="3843" max="3843" width="4.28515625" style="129" customWidth="1"/>
    <col min="3844" max="3844" width="2.85546875" style="129" customWidth="1"/>
    <col min="3845" max="3845" width="3.42578125" style="129" customWidth="1"/>
    <col min="3846" max="3846" width="3.140625" style="129" customWidth="1"/>
    <col min="3847" max="3847" width="3.42578125" style="129" customWidth="1"/>
    <col min="3848" max="3848" width="3.5703125" style="129" customWidth="1"/>
    <col min="3849" max="3849" width="3.7109375" style="129" customWidth="1"/>
    <col min="3850" max="3850" width="3.140625" style="129" customWidth="1"/>
    <col min="3851" max="3851" width="3.28515625" style="129" customWidth="1"/>
    <col min="3852" max="3854" width="3.42578125" style="129" customWidth="1"/>
    <col min="3855" max="3855" width="3" style="129" customWidth="1"/>
    <col min="3856" max="3856" width="2.7109375" style="129" customWidth="1"/>
    <col min="3857" max="3857" width="2.85546875" style="129" customWidth="1"/>
    <col min="3858" max="3858" width="2.7109375" style="129" customWidth="1"/>
    <col min="3859" max="3859" width="3.85546875" style="129" customWidth="1"/>
    <col min="3860" max="3860" width="2.7109375" style="129" customWidth="1"/>
    <col min="3861" max="3861" width="3.7109375" style="129" customWidth="1"/>
    <col min="3862" max="3862" width="2.7109375" style="129" customWidth="1"/>
    <col min="3863" max="3863" width="3" style="129" customWidth="1"/>
    <col min="3864" max="3866" width="2.85546875" style="129" customWidth="1"/>
    <col min="3867" max="3867" width="3.28515625" style="129" customWidth="1"/>
    <col min="3868" max="3868" width="3.140625" style="129" customWidth="1"/>
    <col min="3869" max="3871" width="3.28515625" style="129" customWidth="1"/>
    <col min="3872" max="3872" width="3" style="129" customWidth="1"/>
    <col min="3873" max="3873" width="3.140625" style="129" customWidth="1"/>
    <col min="3874" max="3874" width="3.5703125" style="129" customWidth="1"/>
    <col min="3875" max="3876" width="2.85546875" style="129" customWidth="1"/>
    <col min="3877" max="3877" width="3.42578125" style="129" customWidth="1"/>
    <col min="3878" max="3878" width="2.7109375" style="129" customWidth="1"/>
    <col min="3879" max="3879" width="2.28515625" style="129" customWidth="1"/>
    <col min="3880" max="4097" width="11.42578125" style="129"/>
    <col min="4098" max="4098" width="1.42578125" style="129" customWidth="1"/>
    <col min="4099" max="4099" width="4.28515625" style="129" customWidth="1"/>
    <col min="4100" max="4100" width="2.85546875" style="129" customWidth="1"/>
    <col min="4101" max="4101" width="3.42578125" style="129" customWidth="1"/>
    <col min="4102" max="4102" width="3.140625" style="129" customWidth="1"/>
    <col min="4103" max="4103" width="3.42578125" style="129" customWidth="1"/>
    <col min="4104" max="4104" width="3.5703125" style="129" customWidth="1"/>
    <col min="4105" max="4105" width="3.7109375" style="129" customWidth="1"/>
    <col min="4106" max="4106" width="3.140625" style="129" customWidth="1"/>
    <col min="4107" max="4107" width="3.28515625" style="129" customWidth="1"/>
    <col min="4108" max="4110" width="3.42578125" style="129" customWidth="1"/>
    <col min="4111" max="4111" width="3" style="129" customWidth="1"/>
    <col min="4112" max="4112" width="2.7109375" style="129" customWidth="1"/>
    <col min="4113" max="4113" width="2.85546875" style="129" customWidth="1"/>
    <col min="4114" max="4114" width="2.7109375" style="129" customWidth="1"/>
    <col min="4115" max="4115" width="3.85546875" style="129" customWidth="1"/>
    <col min="4116" max="4116" width="2.7109375" style="129" customWidth="1"/>
    <col min="4117" max="4117" width="3.7109375" style="129" customWidth="1"/>
    <col min="4118" max="4118" width="2.7109375" style="129" customWidth="1"/>
    <col min="4119" max="4119" width="3" style="129" customWidth="1"/>
    <col min="4120" max="4122" width="2.85546875" style="129" customWidth="1"/>
    <col min="4123" max="4123" width="3.28515625" style="129" customWidth="1"/>
    <col min="4124" max="4124" width="3.140625" style="129" customWidth="1"/>
    <col min="4125" max="4127" width="3.28515625" style="129" customWidth="1"/>
    <col min="4128" max="4128" width="3" style="129" customWidth="1"/>
    <col min="4129" max="4129" width="3.140625" style="129" customWidth="1"/>
    <col min="4130" max="4130" width="3.5703125" style="129" customWidth="1"/>
    <col min="4131" max="4132" width="2.85546875" style="129" customWidth="1"/>
    <col min="4133" max="4133" width="3.42578125" style="129" customWidth="1"/>
    <col min="4134" max="4134" width="2.7109375" style="129" customWidth="1"/>
    <col min="4135" max="4135" width="2.28515625" style="129" customWidth="1"/>
    <col min="4136" max="4353" width="11.42578125" style="129"/>
    <col min="4354" max="4354" width="1.42578125" style="129" customWidth="1"/>
    <col min="4355" max="4355" width="4.28515625" style="129" customWidth="1"/>
    <col min="4356" max="4356" width="2.85546875" style="129" customWidth="1"/>
    <col min="4357" max="4357" width="3.42578125" style="129" customWidth="1"/>
    <col min="4358" max="4358" width="3.140625" style="129" customWidth="1"/>
    <col min="4359" max="4359" width="3.42578125" style="129" customWidth="1"/>
    <col min="4360" max="4360" width="3.5703125" style="129" customWidth="1"/>
    <col min="4361" max="4361" width="3.7109375" style="129" customWidth="1"/>
    <col min="4362" max="4362" width="3.140625" style="129" customWidth="1"/>
    <col min="4363" max="4363" width="3.28515625" style="129" customWidth="1"/>
    <col min="4364" max="4366" width="3.42578125" style="129" customWidth="1"/>
    <col min="4367" max="4367" width="3" style="129" customWidth="1"/>
    <col min="4368" max="4368" width="2.7109375" style="129" customWidth="1"/>
    <col min="4369" max="4369" width="2.85546875" style="129" customWidth="1"/>
    <col min="4370" max="4370" width="2.7109375" style="129" customWidth="1"/>
    <col min="4371" max="4371" width="3.85546875" style="129" customWidth="1"/>
    <col min="4372" max="4372" width="2.7109375" style="129" customWidth="1"/>
    <col min="4373" max="4373" width="3.7109375" style="129" customWidth="1"/>
    <col min="4374" max="4374" width="2.7109375" style="129" customWidth="1"/>
    <col min="4375" max="4375" width="3" style="129" customWidth="1"/>
    <col min="4376" max="4378" width="2.85546875" style="129" customWidth="1"/>
    <col min="4379" max="4379" width="3.28515625" style="129" customWidth="1"/>
    <col min="4380" max="4380" width="3.140625" style="129" customWidth="1"/>
    <col min="4381" max="4383" width="3.28515625" style="129" customWidth="1"/>
    <col min="4384" max="4384" width="3" style="129" customWidth="1"/>
    <col min="4385" max="4385" width="3.140625" style="129" customWidth="1"/>
    <col min="4386" max="4386" width="3.5703125" style="129" customWidth="1"/>
    <col min="4387" max="4388" width="2.85546875" style="129" customWidth="1"/>
    <col min="4389" max="4389" width="3.42578125" style="129" customWidth="1"/>
    <col min="4390" max="4390" width="2.7109375" style="129" customWidth="1"/>
    <col min="4391" max="4391" width="2.28515625" style="129" customWidth="1"/>
    <col min="4392" max="4609" width="11.42578125" style="129"/>
    <col min="4610" max="4610" width="1.42578125" style="129" customWidth="1"/>
    <col min="4611" max="4611" width="4.28515625" style="129" customWidth="1"/>
    <col min="4612" max="4612" width="2.85546875" style="129" customWidth="1"/>
    <col min="4613" max="4613" width="3.42578125" style="129" customWidth="1"/>
    <col min="4614" max="4614" width="3.140625" style="129" customWidth="1"/>
    <col min="4615" max="4615" width="3.42578125" style="129" customWidth="1"/>
    <col min="4616" max="4616" width="3.5703125" style="129" customWidth="1"/>
    <col min="4617" max="4617" width="3.7109375" style="129" customWidth="1"/>
    <col min="4618" max="4618" width="3.140625" style="129" customWidth="1"/>
    <col min="4619" max="4619" width="3.28515625" style="129" customWidth="1"/>
    <col min="4620" max="4622" width="3.42578125" style="129" customWidth="1"/>
    <col min="4623" max="4623" width="3" style="129" customWidth="1"/>
    <col min="4624" max="4624" width="2.7109375" style="129" customWidth="1"/>
    <col min="4625" max="4625" width="2.85546875" style="129" customWidth="1"/>
    <col min="4626" max="4626" width="2.7109375" style="129" customWidth="1"/>
    <col min="4627" max="4627" width="3.85546875" style="129" customWidth="1"/>
    <col min="4628" max="4628" width="2.7109375" style="129" customWidth="1"/>
    <col min="4629" max="4629" width="3.7109375" style="129" customWidth="1"/>
    <col min="4630" max="4630" width="2.7109375" style="129" customWidth="1"/>
    <col min="4631" max="4631" width="3" style="129" customWidth="1"/>
    <col min="4632" max="4634" width="2.85546875" style="129" customWidth="1"/>
    <col min="4635" max="4635" width="3.28515625" style="129" customWidth="1"/>
    <col min="4636" max="4636" width="3.140625" style="129" customWidth="1"/>
    <col min="4637" max="4639" width="3.28515625" style="129" customWidth="1"/>
    <col min="4640" max="4640" width="3" style="129" customWidth="1"/>
    <col min="4641" max="4641" width="3.140625" style="129" customWidth="1"/>
    <col min="4642" max="4642" width="3.5703125" style="129" customWidth="1"/>
    <col min="4643" max="4644" width="2.85546875" style="129" customWidth="1"/>
    <col min="4645" max="4645" width="3.42578125" style="129" customWidth="1"/>
    <col min="4646" max="4646" width="2.7109375" style="129" customWidth="1"/>
    <col min="4647" max="4647" width="2.28515625" style="129" customWidth="1"/>
    <col min="4648" max="4865" width="11.42578125" style="129"/>
    <col min="4866" max="4866" width="1.42578125" style="129" customWidth="1"/>
    <col min="4867" max="4867" width="4.28515625" style="129" customWidth="1"/>
    <col min="4868" max="4868" width="2.85546875" style="129" customWidth="1"/>
    <col min="4869" max="4869" width="3.42578125" style="129" customWidth="1"/>
    <col min="4870" max="4870" width="3.140625" style="129" customWidth="1"/>
    <col min="4871" max="4871" width="3.42578125" style="129" customWidth="1"/>
    <col min="4872" max="4872" width="3.5703125" style="129" customWidth="1"/>
    <col min="4873" max="4873" width="3.7109375" style="129" customWidth="1"/>
    <col min="4874" max="4874" width="3.140625" style="129" customWidth="1"/>
    <col min="4875" max="4875" width="3.28515625" style="129" customWidth="1"/>
    <col min="4876" max="4878" width="3.42578125" style="129" customWidth="1"/>
    <col min="4879" max="4879" width="3" style="129" customWidth="1"/>
    <col min="4880" max="4880" width="2.7109375" style="129" customWidth="1"/>
    <col min="4881" max="4881" width="2.85546875" style="129" customWidth="1"/>
    <col min="4882" max="4882" width="2.7109375" style="129" customWidth="1"/>
    <col min="4883" max="4883" width="3.85546875" style="129" customWidth="1"/>
    <col min="4884" max="4884" width="2.7109375" style="129" customWidth="1"/>
    <col min="4885" max="4885" width="3.7109375" style="129" customWidth="1"/>
    <col min="4886" max="4886" width="2.7109375" style="129" customWidth="1"/>
    <col min="4887" max="4887" width="3" style="129" customWidth="1"/>
    <col min="4888" max="4890" width="2.85546875" style="129" customWidth="1"/>
    <col min="4891" max="4891" width="3.28515625" style="129" customWidth="1"/>
    <col min="4892" max="4892" width="3.140625" style="129" customWidth="1"/>
    <col min="4893" max="4895" width="3.28515625" style="129" customWidth="1"/>
    <col min="4896" max="4896" width="3" style="129" customWidth="1"/>
    <col min="4897" max="4897" width="3.140625" style="129" customWidth="1"/>
    <col min="4898" max="4898" width="3.5703125" style="129" customWidth="1"/>
    <col min="4899" max="4900" width="2.85546875" style="129" customWidth="1"/>
    <col min="4901" max="4901" width="3.42578125" style="129" customWidth="1"/>
    <col min="4902" max="4902" width="2.7109375" style="129" customWidth="1"/>
    <col min="4903" max="4903" width="2.28515625" style="129" customWidth="1"/>
    <col min="4904" max="5121" width="11.42578125" style="129"/>
    <col min="5122" max="5122" width="1.42578125" style="129" customWidth="1"/>
    <col min="5123" max="5123" width="4.28515625" style="129" customWidth="1"/>
    <col min="5124" max="5124" width="2.85546875" style="129" customWidth="1"/>
    <col min="5125" max="5125" width="3.42578125" style="129" customWidth="1"/>
    <col min="5126" max="5126" width="3.140625" style="129" customWidth="1"/>
    <col min="5127" max="5127" width="3.42578125" style="129" customWidth="1"/>
    <col min="5128" max="5128" width="3.5703125" style="129" customWidth="1"/>
    <col min="5129" max="5129" width="3.7109375" style="129" customWidth="1"/>
    <col min="5130" max="5130" width="3.140625" style="129" customWidth="1"/>
    <col min="5131" max="5131" width="3.28515625" style="129" customWidth="1"/>
    <col min="5132" max="5134" width="3.42578125" style="129" customWidth="1"/>
    <col min="5135" max="5135" width="3" style="129" customWidth="1"/>
    <col min="5136" max="5136" width="2.7109375" style="129" customWidth="1"/>
    <col min="5137" max="5137" width="2.85546875" style="129" customWidth="1"/>
    <col min="5138" max="5138" width="2.7109375" style="129" customWidth="1"/>
    <col min="5139" max="5139" width="3.85546875" style="129" customWidth="1"/>
    <col min="5140" max="5140" width="2.7109375" style="129" customWidth="1"/>
    <col min="5141" max="5141" width="3.7109375" style="129" customWidth="1"/>
    <col min="5142" max="5142" width="2.7109375" style="129" customWidth="1"/>
    <col min="5143" max="5143" width="3" style="129" customWidth="1"/>
    <col min="5144" max="5146" width="2.85546875" style="129" customWidth="1"/>
    <col min="5147" max="5147" width="3.28515625" style="129" customWidth="1"/>
    <col min="5148" max="5148" width="3.140625" style="129" customWidth="1"/>
    <col min="5149" max="5151" width="3.28515625" style="129" customWidth="1"/>
    <col min="5152" max="5152" width="3" style="129" customWidth="1"/>
    <col min="5153" max="5153" width="3.140625" style="129" customWidth="1"/>
    <col min="5154" max="5154" width="3.5703125" style="129" customWidth="1"/>
    <col min="5155" max="5156" width="2.85546875" style="129" customWidth="1"/>
    <col min="5157" max="5157" width="3.42578125" style="129" customWidth="1"/>
    <col min="5158" max="5158" width="2.7109375" style="129" customWidth="1"/>
    <col min="5159" max="5159" width="2.28515625" style="129" customWidth="1"/>
    <col min="5160" max="5377" width="11.42578125" style="129"/>
    <col min="5378" max="5378" width="1.42578125" style="129" customWidth="1"/>
    <col min="5379" max="5379" width="4.28515625" style="129" customWidth="1"/>
    <col min="5380" max="5380" width="2.85546875" style="129" customWidth="1"/>
    <col min="5381" max="5381" width="3.42578125" style="129" customWidth="1"/>
    <col min="5382" max="5382" width="3.140625" style="129" customWidth="1"/>
    <col min="5383" max="5383" width="3.42578125" style="129" customWidth="1"/>
    <col min="5384" max="5384" width="3.5703125" style="129" customWidth="1"/>
    <col min="5385" max="5385" width="3.7109375" style="129" customWidth="1"/>
    <col min="5386" max="5386" width="3.140625" style="129" customWidth="1"/>
    <col min="5387" max="5387" width="3.28515625" style="129" customWidth="1"/>
    <col min="5388" max="5390" width="3.42578125" style="129" customWidth="1"/>
    <col min="5391" max="5391" width="3" style="129" customWidth="1"/>
    <col min="5392" max="5392" width="2.7109375" style="129" customWidth="1"/>
    <col min="5393" max="5393" width="2.85546875" style="129" customWidth="1"/>
    <col min="5394" max="5394" width="2.7109375" style="129" customWidth="1"/>
    <col min="5395" max="5395" width="3.85546875" style="129" customWidth="1"/>
    <col min="5396" max="5396" width="2.7109375" style="129" customWidth="1"/>
    <col min="5397" max="5397" width="3.7109375" style="129" customWidth="1"/>
    <col min="5398" max="5398" width="2.7109375" style="129" customWidth="1"/>
    <col min="5399" max="5399" width="3" style="129" customWidth="1"/>
    <col min="5400" max="5402" width="2.85546875" style="129" customWidth="1"/>
    <col min="5403" max="5403" width="3.28515625" style="129" customWidth="1"/>
    <col min="5404" max="5404" width="3.140625" style="129" customWidth="1"/>
    <col min="5405" max="5407" width="3.28515625" style="129" customWidth="1"/>
    <col min="5408" max="5408" width="3" style="129" customWidth="1"/>
    <col min="5409" max="5409" width="3.140625" style="129" customWidth="1"/>
    <col min="5410" max="5410" width="3.5703125" style="129" customWidth="1"/>
    <col min="5411" max="5412" width="2.85546875" style="129" customWidth="1"/>
    <col min="5413" max="5413" width="3.42578125" style="129" customWidth="1"/>
    <col min="5414" max="5414" width="2.7109375" style="129" customWidth="1"/>
    <col min="5415" max="5415" width="2.28515625" style="129" customWidth="1"/>
    <col min="5416" max="5633" width="11.42578125" style="129"/>
    <col min="5634" max="5634" width="1.42578125" style="129" customWidth="1"/>
    <col min="5635" max="5635" width="4.28515625" style="129" customWidth="1"/>
    <col min="5636" max="5636" width="2.85546875" style="129" customWidth="1"/>
    <col min="5637" max="5637" width="3.42578125" style="129" customWidth="1"/>
    <col min="5638" max="5638" width="3.140625" style="129" customWidth="1"/>
    <col min="5639" max="5639" width="3.42578125" style="129" customWidth="1"/>
    <col min="5640" max="5640" width="3.5703125" style="129" customWidth="1"/>
    <col min="5641" max="5641" width="3.7109375" style="129" customWidth="1"/>
    <col min="5642" max="5642" width="3.140625" style="129" customWidth="1"/>
    <col min="5643" max="5643" width="3.28515625" style="129" customWidth="1"/>
    <col min="5644" max="5646" width="3.42578125" style="129" customWidth="1"/>
    <col min="5647" max="5647" width="3" style="129" customWidth="1"/>
    <col min="5648" max="5648" width="2.7109375" style="129" customWidth="1"/>
    <col min="5649" max="5649" width="2.85546875" style="129" customWidth="1"/>
    <col min="5650" max="5650" width="2.7109375" style="129" customWidth="1"/>
    <col min="5651" max="5651" width="3.85546875" style="129" customWidth="1"/>
    <col min="5652" max="5652" width="2.7109375" style="129" customWidth="1"/>
    <col min="5653" max="5653" width="3.7109375" style="129" customWidth="1"/>
    <col min="5654" max="5654" width="2.7109375" style="129" customWidth="1"/>
    <col min="5655" max="5655" width="3" style="129" customWidth="1"/>
    <col min="5656" max="5658" width="2.85546875" style="129" customWidth="1"/>
    <col min="5659" max="5659" width="3.28515625" style="129" customWidth="1"/>
    <col min="5660" max="5660" width="3.140625" style="129" customWidth="1"/>
    <col min="5661" max="5663" width="3.28515625" style="129" customWidth="1"/>
    <col min="5664" max="5664" width="3" style="129" customWidth="1"/>
    <col min="5665" max="5665" width="3.140625" style="129" customWidth="1"/>
    <col min="5666" max="5666" width="3.5703125" style="129" customWidth="1"/>
    <col min="5667" max="5668" width="2.85546875" style="129" customWidth="1"/>
    <col min="5669" max="5669" width="3.42578125" style="129" customWidth="1"/>
    <col min="5670" max="5670" width="2.7109375" style="129" customWidth="1"/>
    <col min="5671" max="5671" width="2.28515625" style="129" customWidth="1"/>
    <col min="5672" max="5889" width="11.42578125" style="129"/>
    <col min="5890" max="5890" width="1.42578125" style="129" customWidth="1"/>
    <col min="5891" max="5891" width="4.28515625" style="129" customWidth="1"/>
    <col min="5892" max="5892" width="2.85546875" style="129" customWidth="1"/>
    <col min="5893" max="5893" width="3.42578125" style="129" customWidth="1"/>
    <col min="5894" max="5894" width="3.140625" style="129" customWidth="1"/>
    <col min="5895" max="5895" width="3.42578125" style="129" customWidth="1"/>
    <col min="5896" max="5896" width="3.5703125" style="129" customWidth="1"/>
    <col min="5897" max="5897" width="3.7109375" style="129" customWidth="1"/>
    <col min="5898" max="5898" width="3.140625" style="129" customWidth="1"/>
    <col min="5899" max="5899" width="3.28515625" style="129" customWidth="1"/>
    <col min="5900" max="5902" width="3.42578125" style="129" customWidth="1"/>
    <col min="5903" max="5903" width="3" style="129" customWidth="1"/>
    <col min="5904" max="5904" width="2.7109375" style="129" customWidth="1"/>
    <col min="5905" max="5905" width="2.85546875" style="129" customWidth="1"/>
    <col min="5906" max="5906" width="2.7109375" style="129" customWidth="1"/>
    <col min="5907" max="5907" width="3.85546875" style="129" customWidth="1"/>
    <col min="5908" max="5908" width="2.7109375" style="129" customWidth="1"/>
    <col min="5909" max="5909" width="3.7109375" style="129" customWidth="1"/>
    <col min="5910" max="5910" width="2.7109375" style="129" customWidth="1"/>
    <col min="5911" max="5911" width="3" style="129" customWidth="1"/>
    <col min="5912" max="5914" width="2.85546875" style="129" customWidth="1"/>
    <col min="5915" max="5915" width="3.28515625" style="129" customWidth="1"/>
    <col min="5916" max="5916" width="3.140625" style="129" customWidth="1"/>
    <col min="5917" max="5919" width="3.28515625" style="129" customWidth="1"/>
    <col min="5920" max="5920" width="3" style="129" customWidth="1"/>
    <col min="5921" max="5921" width="3.140625" style="129" customWidth="1"/>
    <col min="5922" max="5922" width="3.5703125" style="129" customWidth="1"/>
    <col min="5923" max="5924" width="2.85546875" style="129" customWidth="1"/>
    <col min="5925" max="5925" width="3.42578125" style="129" customWidth="1"/>
    <col min="5926" max="5926" width="2.7109375" style="129" customWidth="1"/>
    <col min="5927" max="5927" width="2.28515625" style="129" customWidth="1"/>
    <col min="5928" max="6145" width="11.42578125" style="129"/>
    <col min="6146" max="6146" width="1.42578125" style="129" customWidth="1"/>
    <col min="6147" max="6147" width="4.28515625" style="129" customWidth="1"/>
    <col min="6148" max="6148" width="2.85546875" style="129" customWidth="1"/>
    <col min="6149" max="6149" width="3.42578125" style="129" customWidth="1"/>
    <col min="6150" max="6150" width="3.140625" style="129" customWidth="1"/>
    <col min="6151" max="6151" width="3.42578125" style="129" customWidth="1"/>
    <col min="6152" max="6152" width="3.5703125" style="129" customWidth="1"/>
    <col min="6153" max="6153" width="3.7109375" style="129" customWidth="1"/>
    <col min="6154" max="6154" width="3.140625" style="129" customWidth="1"/>
    <col min="6155" max="6155" width="3.28515625" style="129" customWidth="1"/>
    <col min="6156" max="6158" width="3.42578125" style="129" customWidth="1"/>
    <col min="6159" max="6159" width="3" style="129" customWidth="1"/>
    <col min="6160" max="6160" width="2.7109375" style="129" customWidth="1"/>
    <col min="6161" max="6161" width="2.85546875" style="129" customWidth="1"/>
    <col min="6162" max="6162" width="2.7109375" style="129" customWidth="1"/>
    <col min="6163" max="6163" width="3.85546875" style="129" customWidth="1"/>
    <col min="6164" max="6164" width="2.7109375" style="129" customWidth="1"/>
    <col min="6165" max="6165" width="3.7109375" style="129" customWidth="1"/>
    <col min="6166" max="6166" width="2.7109375" style="129" customWidth="1"/>
    <col min="6167" max="6167" width="3" style="129" customWidth="1"/>
    <col min="6168" max="6170" width="2.85546875" style="129" customWidth="1"/>
    <col min="6171" max="6171" width="3.28515625" style="129" customWidth="1"/>
    <col min="6172" max="6172" width="3.140625" style="129" customWidth="1"/>
    <col min="6173" max="6175" width="3.28515625" style="129" customWidth="1"/>
    <col min="6176" max="6176" width="3" style="129" customWidth="1"/>
    <col min="6177" max="6177" width="3.140625" style="129" customWidth="1"/>
    <col min="6178" max="6178" width="3.5703125" style="129" customWidth="1"/>
    <col min="6179" max="6180" width="2.85546875" style="129" customWidth="1"/>
    <col min="6181" max="6181" width="3.42578125" style="129" customWidth="1"/>
    <col min="6182" max="6182" width="2.7109375" style="129" customWidth="1"/>
    <col min="6183" max="6183" width="2.28515625" style="129" customWidth="1"/>
    <col min="6184" max="6401" width="11.42578125" style="129"/>
    <col min="6402" max="6402" width="1.42578125" style="129" customWidth="1"/>
    <col min="6403" max="6403" width="4.28515625" style="129" customWidth="1"/>
    <col min="6404" max="6404" width="2.85546875" style="129" customWidth="1"/>
    <col min="6405" max="6405" width="3.42578125" style="129" customWidth="1"/>
    <col min="6406" max="6406" width="3.140625" style="129" customWidth="1"/>
    <col min="6407" max="6407" width="3.42578125" style="129" customWidth="1"/>
    <col min="6408" max="6408" width="3.5703125" style="129" customWidth="1"/>
    <col min="6409" max="6409" width="3.7109375" style="129" customWidth="1"/>
    <col min="6410" max="6410" width="3.140625" style="129" customWidth="1"/>
    <col min="6411" max="6411" width="3.28515625" style="129" customWidth="1"/>
    <col min="6412" max="6414" width="3.42578125" style="129" customWidth="1"/>
    <col min="6415" max="6415" width="3" style="129" customWidth="1"/>
    <col min="6416" max="6416" width="2.7109375" style="129" customWidth="1"/>
    <col min="6417" max="6417" width="2.85546875" style="129" customWidth="1"/>
    <col min="6418" max="6418" width="2.7109375" style="129" customWidth="1"/>
    <col min="6419" max="6419" width="3.85546875" style="129" customWidth="1"/>
    <col min="6420" max="6420" width="2.7109375" style="129" customWidth="1"/>
    <col min="6421" max="6421" width="3.7109375" style="129" customWidth="1"/>
    <col min="6422" max="6422" width="2.7109375" style="129" customWidth="1"/>
    <col min="6423" max="6423" width="3" style="129" customWidth="1"/>
    <col min="6424" max="6426" width="2.85546875" style="129" customWidth="1"/>
    <col min="6427" max="6427" width="3.28515625" style="129" customWidth="1"/>
    <col min="6428" max="6428" width="3.140625" style="129" customWidth="1"/>
    <col min="6429" max="6431" width="3.28515625" style="129" customWidth="1"/>
    <col min="6432" max="6432" width="3" style="129" customWidth="1"/>
    <col min="6433" max="6433" width="3.140625" style="129" customWidth="1"/>
    <col min="6434" max="6434" width="3.5703125" style="129" customWidth="1"/>
    <col min="6435" max="6436" width="2.85546875" style="129" customWidth="1"/>
    <col min="6437" max="6437" width="3.42578125" style="129" customWidth="1"/>
    <col min="6438" max="6438" width="2.7109375" style="129" customWidth="1"/>
    <col min="6439" max="6439" width="2.28515625" style="129" customWidth="1"/>
    <col min="6440" max="6657" width="11.42578125" style="129"/>
    <col min="6658" max="6658" width="1.42578125" style="129" customWidth="1"/>
    <col min="6659" max="6659" width="4.28515625" style="129" customWidth="1"/>
    <col min="6660" max="6660" width="2.85546875" style="129" customWidth="1"/>
    <col min="6661" max="6661" width="3.42578125" style="129" customWidth="1"/>
    <col min="6662" max="6662" width="3.140625" style="129" customWidth="1"/>
    <col min="6663" max="6663" width="3.42578125" style="129" customWidth="1"/>
    <col min="6664" max="6664" width="3.5703125" style="129" customWidth="1"/>
    <col min="6665" max="6665" width="3.7109375" style="129" customWidth="1"/>
    <col min="6666" max="6666" width="3.140625" style="129" customWidth="1"/>
    <col min="6667" max="6667" width="3.28515625" style="129" customWidth="1"/>
    <col min="6668" max="6670" width="3.42578125" style="129" customWidth="1"/>
    <col min="6671" max="6671" width="3" style="129" customWidth="1"/>
    <col min="6672" max="6672" width="2.7109375" style="129" customWidth="1"/>
    <col min="6673" max="6673" width="2.85546875" style="129" customWidth="1"/>
    <col min="6674" max="6674" width="2.7109375" style="129" customWidth="1"/>
    <col min="6675" max="6675" width="3.85546875" style="129" customWidth="1"/>
    <col min="6676" max="6676" width="2.7109375" style="129" customWidth="1"/>
    <col min="6677" max="6677" width="3.7109375" style="129" customWidth="1"/>
    <col min="6678" max="6678" width="2.7109375" style="129" customWidth="1"/>
    <col min="6679" max="6679" width="3" style="129" customWidth="1"/>
    <col min="6680" max="6682" width="2.85546875" style="129" customWidth="1"/>
    <col min="6683" max="6683" width="3.28515625" style="129" customWidth="1"/>
    <col min="6684" max="6684" width="3.140625" style="129" customWidth="1"/>
    <col min="6685" max="6687" width="3.28515625" style="129" customWidth="1"/>
    <col min="6688" max="6688" width="3" style="129" customWidth="1"/>
    <col min="6689" max="6689" width="3.140625" style="129" customWidth="1"/>
    <col min="6690" max="6690" width="3.5703125" style="129" customWidth="1"/>
    <col min="6691" max="6692" width="2.85546875" style="129" customWidth="1"/>
    <col min="6693" max="6693" width="3.42578125" style="129" customWidth="1"/>
    <col min="6694" max="6694" width="2.7109375" style="129" customWidth="1"/>
    <col min="6695" max="6695" width="2.28515625" style="129" customWidth="1"/>
    <col min="6696" max="6913" width="11.42578125" style="129"/>
    <col min="6914" max="6914" width="1.42578125" style="129" customWidth="1"/>
    <col min="6915" max="6915" width="4.28515625" style="129" customWidth="1"/>
    <col min="6916" max="6916" width="2.85546875" style="129" customWidth="1"/>
    <col min="6917" max="6917" width="3.42578125" style="129" customWidth="1"/>
    <col min="6918" max="6918" width="3.140625" style="129" customWidth="1"/>
    <col min="6919" max="6919" width="3.42578125" style="129" customWidth="1"/>
    <col min="6920" max="6920" width="3.5703125" style="129" customWidth="1"/>
    <col min="6921" max="6921" width="3.7109375" style="129" customWidth="1"/>
    <col min="6922" max="6922" width="3.140625" style="129" customWidth="1"/>
    <col min="6923" max="6923" width="3.28515625" style="129" customWidth="1"/>
    <col min="6924" max="6926" width="3.42578125" style="129" customWidth="1"/>
    <col min="6927" max="6927" width="3" style="129" customWidth="1"/>
    <col min="6928" max="6928" width="2.7109375" style="129" customWidth="1"/>
    <col min="6929" max="6929" width="2.85546875" style="129" customWidth="1"/>
    <col min="6930" max="6930" width="2.7109375" style="129" customWidth="1"/>
    <col min="6931" max="6931" width="3.85546875" style="129" customWidth="1"/>
    <col min="6932" max="6932" width="2.7109375" style="129" customWidth="1"/>
    <col min="6933" max="6933" width="3.7109375" style="129" customWidth="1"/>
    <col min="6934" max="6934" width="2.7109375" style="129" customWidth="1"/>
    <col min="6935" max="6935" width="3" style="129" customWidth="1"/>
    <col min="6936" max="6938" width="2.85546875" style="129" customWidth="1"/>
    <col min="6939" max="6939" width="3.28515625" style="129" customWidth="1"/>
    <col min="6940" max="6940" width="3.140625" style="129" customWidth="1"/>
    <col min="6941" max="6943" width="3.28515625" style="129" customWidth="1"/>
    <col min="6944" max="6944" width="3" style="129" customWidth="1"/>
    <col min="6945" max="6945" width="3.140625" style="129" customWidth="1"/>
    <col min="6946" max="6946" width="3.5703125" style="129" customWidth="1"/>
    <col min="6947" max="6948" width="2.85546875" style="129" customWidth="1"/>
    <col min="6949" max="6949" width="3.42578125" style="129" customWidth="1"/>
    <col min="6950" max="6950" width="2.7109375" style="129" customWidth="1"/>
    <col min="6951" max="6951" width="2.28515625" style="129" customWidth="1"/>
    <col min="6952" max="7169" width="11.42578125" style="129"/>
    <col min="7170" max="7170" width="1.42578125" style="129" customWidth="1"/>
    <col min="7171" max="7171" width="4.28515625" style="129" customWidth="1"/>
    <col min="7172" max="7172" width="2.85546875" style="129" customWidth="1"/>
    <col min="7173" max="7173" width="3.42578125" style="129" customWidth="1"/>
    <col min="7174" max="7174" width="3.140625" style="129" customWidth="1"/>
    <col min="7175" max="7175" width="3.42578125" style="129" customWidth="1"/>
    <col min="7176" max="7176" width="3.5703125" style="129" customWidth="1"/>
    <col min="7177" max="7177" width="3.7109375" style="129" customWidth="1"/>
    <col min="7178" max="7178" width="3.140625" style="129" customWidth="1"/>
    <col min="7179" max="7179" width="3.28515625" style="129" customWidth="1"/>
    <col min="7180" max="7182" width="3.42578125" style="129" customWidth="1"/>
    <col min="7183" max="7183" width="3" style="129" customWidth="1"/>
    <col min="7184" max="7184" width="2.7109375" style="129" customWidth="1"/>
    <col min="7185" max="7185" width="2.85546875" style="129" customWidth="1"/>
    <col min="7186" max="7186" width="2.7109375" style="129" customWidth="1"/>
    <col min="7187" max="7187" width="3.85546875" style="129" customWidth="1"/>
    <col min="7188" max="7188" width="2.7109375" style="129" customWidth="1"/>
    <col min="7189" max="7189" width="3.7109375" style="129" customWidth="1"/>
    <col min="7190" max="7190" width="2.7109375" style="129" customWidth="1"/>
    <col min="7191" max="7191" width="3" style="129" customWidth="1"/>
    <col min="7192" max="7194" width="2.85546875" style="129" customWidth="1"/>
    <col min="7195" max="7195" width="3.28515625" style="129" customWidth="1"/>
    <col min="7196" max="7196" width="3.140625" style="129" customWidth="1"/>
    <col min="7197" max="7199" width="3.28515625" style="129" customWidth="1"/>
    <col min="7200" max="7200" width="3" style="129" customWidth="1"/>
    <col min="7201" max="7201" width="3.140625" style="129" customWidth="1"/>
    <col min="7202" max="7202" width="3.5703125" style="129" customWidth="1"/>
    <col min="7203" max="7204" width="2.85546875" style="129" customWidth="1"/>
    <col min="7205" max="7205" width="3.42578125" style="129" customWidth="1"/>
    <col min="7206" max="7206" width="2.7109375" style="129" customWidth="1"/>
    <col min="7207" max="7207" width="2.28515625" style="129" customWidth="1"/>
    <col min="7208" max="7425" width="11.42578125" style="129"/>
    <col min="7426" max="7426" width="1.42578125" style="129" customWidth="1"/>
    <col min="7427" max="7427" width="4.28515625" style="129" customWidth="1"/>
    <col min="7428" max="7428" width="2.85546875" style="129" customWidth="1"/>
    <col min="7429" max="7429" width="3.42578125" style="129" customWidth="1"/>
    <col min="7430" max="7430" width="3.140625" style="129" customWidth="1"/>
    <col min="7431" max="7431" width="3.42578125" style="129" customWidth="1"/>
    <col min="7432" max="7432" width="3.5703125" style="129" customWidth="1"/>
    <col min="7433" max="7433" width="3.7109375" style="129" customWidth="1"/>
    <col min="7434" max="7434" width="3.140625" style="129" customWidth="1"/>
    <col min="7435" max="7435" width="3.28515625" style="129" customWidth="1"/>
    <col min="7436" max="7438" width="3.42578125" style="129" customWidth="1"/>
    <col min="7439" max="7439" width="3" style="129" customWidth="1"/>
    <col min="7440" max="7440" width="2.7109375" style="129" customWidth="1"/>
    <col min="7441" max="7441" width="2.85546875" style="129" customWidth="1"/>
    <col min="7442" max="7442" width="2.7109375" style="129" customWidth="1"/>
    <col min="7443" max="7443" width="3.85546875" style="129" customWidth="1"/>
    <col min="7444" max="7444" width="2.7109375" style="129" customWidth="1"/>
    <col min="7445" max="7445" width="3.7109375" style="129" customWidth="1"/>
    <col min="7446" max="7446" width="2.7109375" style="129" customWidth="1"/>
    <col min="7447" max="7447" width="3" style="129" customWidth="1"/>
    <col min="7448" max="7450" width="2.85546875" style="129" customWidth="1"/>
    <col min="7451" max="7451" width="3.28515625" style="129" customWidth="1"/>
    <col min="7452" max="7452" width="3.140625" style="129" customWidth="1"/>
    <col min="7453" max="7455" width="3.28515625" style="129" customWidth="1"/>
    <col min="7456" max="7456" width="3" style="129" customWidth="1"/>
    <col min="7457" max="7457" width="3.140625" style="129" customWidth="1"/>
    <col min="7458" max="7458" width="3.5703125" style="129" customWidth="1"/>
    <col min="7459" max="7460" width="2.85546875" style="129" customWidth="1"/>
    <col min="7461" max="7461" width="3.42578125" style="129" customWidth="1"/>
    <col min="7462" max="7462" width="2.7109375" style="129" customWidth="1"/>
    <col min="7463" max="7463" width="2.28515625" style="129" customWidth="1"/>
    <col min="7464" max="7681" width="11.42578125" style="129"/>
    <col min="7682" max="7682" width="1.42578125" style="129" customWidth="1"/>
    <col min="7683" max="7683" width="4.28515625" style="129" customWidth="1"/>
    <col min="7684" max="7684" width="2.85546875" style="129" customWidth="1"/>
    <col min="7685" max="7685" width="3.42578125" style="129" customWidth="1"/>
    <col min="7686" max="7686" width="3.140625" style="129" customWidth="1"/>
    <col min="7687" max="7687" width="3.42578125" style="129" customWidth="1"/>
    <col min="7688" max="7688" width="3.5703125" style="129" customWidth="1"/>
    <col min="7689" max="7689" width="3.7109375" style="129" customWidth="1"/>
    <col min="7690" max="7690" width="3.140625" style="129" customWidth="1"/>
    <col min="7691" max="7691" width="3.28515625" style="129" customWidth="1"/>
    <col min="7692" max="7694" width="3.42578125" style="129" customWidth="1"/>
    <col min="7695" max="7695" width="3" style="129" customWidth="1"/>
    <col min="7696" max="7696" width="2.7109375" style="129" customWidth="1"/>
    <col min="7697" max="7697" width="2.85546875" style="129" customWidth="1"/>
    <col min="7698" max="7698" width="2.7109375" style="129" customWidth="1"/>
    <col min="7699" max="7699" width="3.85546875" style="129" customWidth="1"/>
    <col min="7700" max="7700" width="2.7109375" style="129" customWidth="1"/>
    <col min="7701" max="7701" width="3.7109375" style="129" customWidth="1"/>
    <col min="7702" max="7702" width="2.7109375" style="129" customWidth="1"/>
    <col min="7703" max="7703" width="3" style="129" customWidth="1"/>
    <col min="7704" max="7706" width="2.85546875" style="129" customWidth="1"/>
    <col min="7707" max="7707" width="3.28515625" style="129" customWidth="1"/>
    <col min="7708" max="7708" width="3.140625" style="129" customWidth="1"/>
    <col min="7709" max="7711" width="3.28515625" style="129" customWidth="1"/>
    <col min="7712" max="7712" width="3" style="129" customWidth="1"/>
    <col min="7713" max="7713" width="3.140625" style="129" customWidth="1"/>
    <col min="7714" max="7714" width="3.5703125" style="129" customWidth="1"/>
    <col min="7715" max="7716" width="2.85546875" style="129" customWidth="1"/>
    <col min="7717" max="7717" width="3.42578125" style="129" customWidth="1"/>
    <col min="7718" max="7718" width="2.7109375" style="129" customWidth="1"/>
    <col min="7719" max="7719" width="2.28515625" style="129" customWidth="1"/>
    <col min="7720" max="7937" width="11.42578125" style="129"/>
    <col min="7938" max="7938" width="1.42578125" style="129" customWidth="1"/>
    <col min="7939" max="7939" width="4.28515625" style="129" customWidth="1"/>
    <col min="7940" max="7940" width="2.85546875" style="129" customWidth="1"/>
    <col min="7941" max="7941" width="3.42578125" style="129" customWidth="1"/>
    <col min="7942" max="7942" width="3.140625" style="129" customWidth="1"/>
    <col min="7943" max="7943" width="3.42578125" style="129" customWidth="1"/>
    <col min="7944" max="7944" width="3.5703125" style="129" customWidth="1"/>
    <col min="7945" max="7945" width="3.7109375" style="129" customWidth="1"/>
    <col min="7946" max="7946" width="3.140625" style="129" customWidth="1"/>
    <col min="7947" max="7947" width="3.28515625" style="129" customWidth="1"/>
    <col min="7948" max="7950" width="3.42578125" style="129" customWidth="1"/>
    <col min="7951" max="7951" width="3" style="129" customWidth="1"/>
    <col min="7952" max="7952" width="2.7109375" style="129" customWidth="1"/>
    <col min="7953" max="7953" width="2.85546875" style="129" customWidth="1"/>
    <col min="7954" max="7954" width="2.7109375" style="129" customWidth="1"/>
    <col min="7955" max="7955" width="3.85546875" style="129" customWidth="1"/>
    <col min="7956" max="7956" width="2.7109375" style="129" customWidth="1"/>
    <col min="7957" max="7957" width="3.7109375" style="129" customWidth="1"/>
    <col min="7958" max="7958" width="2.7109375" style="129" customWidth="1"/>
    <col min="7959" max="7959" width="3" style="129" customWidth="1"/>
    <col min="7960" max="7962" width="2.85546875" style="129" customWidth="1"/>
    <col min="7963" max="7963" width="3.28515625" style="129" customWidth="1"/>
    <col min="7964" max="7964" width="3.140625" style="129" customWidth="1"/>
    <col min="7965" max="7967" width="3.28515625" style="129" customWidth="1"/>
    <col min="7968" max="7968" width="3" style="129" customWidth="1"/>
    <col min="7969" max="7969" width="3.140625" style="129" customWidth="1"/>
    <col min="7970" max="7970" width="3.5703125" style="129" customWidth="1"/>
    <col min="7971" max="7972" width="2.85546875" style="129" customWidth="1"/>
    <col min="7973" max="7973" width="3.42578125" style="129" customWidth="1"/>
    <col min="7974" max="7974" width="2.7109375" style="129" customWidth="1"/>
    <col min="7975" max="7975" width="2.28515625" style="129" customWidth="1"/>
    <col min="7976" max="8193" width="11.42578125" style="129"/>
    <col min="8194" max="8194" width="1.42578125" style="129" customWidth="1"/>
    <col min="8195" max="8195" width="4.28515625" style="129" customWidth="1"/>
    <col min="8196" max="8196" width="2.85546875" style="129" customWidth="1"/>
    <col min="8197" max="8197" width="3.42578125" style="129" customWidth="1"/>
    <col min="8198" max="8198" width="3.140625" style="129" customWidth="1"/>
    <col min="8199" max="8199" width="3.42578125" style="129" customWidth="1"/>
    <col min="8200" max="8200" width="3.5703125" style="129" customWidth="1"/>
    <col min="8201" max="8201" width="3.7109375" style="129" customWidth="1"/>
    <col min="8202" max="8202" width="3.140625" style="129" customWidth="1"/>
    <col min="8203" max="8203" width="3.28515625" style="129" customWidth="1"/>
    <col min="8204" max="8206" width="3.42578125" style="129" customWidth="1"/>
    <col min="8207" max="8207" width="3" style="129" customWidth="1"/>
    <col min="8208" max="8208" width="2.7109375" style="129" customWidth="1"/>
    <col min="8209" max="8209" width="2.85546875" style="129" customWidth="1"/>
    <col min="8210" max="8210" width="2.7109375" style="129" customWidth="1"/>
    <col min="8211" max="8211" width="3.85546875" style="129" customWidth="1"/>
    <col min="8212" max="8212" width="2.7109375" style="129" customWidth="1"/>
    <col min="8213" max="8213" width="3.7109375" style="129" customWidth="1"/>
    <col min="8214" max="8214" width="2.7109375" style="129" customWidth="1"/>
    <col min="8215" max="8215" width="3" style="129" customWidth="1"/>
    <col min="8216" max="8218" width="2.85546875" style="129" customWidth="1"/>
    <col min="8219" max="8219" width="3.28515625" style="129" customWidth="1"/>
    <col min="8220" max="8220" width="3.140625" style="129" customWidth="1"/>
    <col min="8221" max="8223" width="3.28515625" style="129" customWidth="1"/>
    <col min="8224" max="8224" width="3" style="129" customWidth="1"/>
    <col min="8225" max="8225" width="3.140625" style="129" customWidth="1"/>
    <col min="8226" max="8226" width="3.5703125" style="129" customWidth="1"/>
    <col min="8227" max="8228" width="2.85546875" style="129" customWidth="1"/>
    <col min="8229" max="8229" width="3.42578125" style="129" customWidth="1"/>
    <col min="8230" max="8230" width="2.7109375" style="129" customWidth="1"/>
    <col min="8231" max="8231" width="2.28515625" style="129" customWidth="1"/>
    <col min="8232" max="8449" width="11.42578125" style="129"/>
    <col min="8450" max="8450" width="1.42578125" style="129" customWidth="1"/>
    <col min="8451" max="8451" width="4.28515625" style="129" customWidth="1"/>
    <col min="8452" max="8452" width="2.85546875" style="129" customWidth="1"/>
    <col min="8453" max="8453" width="3.42578125" style="129" customWidth="1"/>
    <col min="8454" max="8454" width="3.140625" style="129" customWidth="1"/>
    <col min="8455" max="8455" width="3.42578125" style="129" customWidth="1"/>
    <col min="8456" max="8456" width="3.5703125" style="129" customWidth="1"/>
    <col min="8457" max="8457" width="3.7109375" style="129" customWidth="1"/>
    <col min="8458" max="8458" width="3.140625" style="129" customWidth="1"/>
    <col min="8459" max="8459" width="3.28515625" style="129" customWidth="1"/>
    <col min="8460" max="8462" width="3.42578125" style="129" customWidth="1"/>
    <col min="8463" max="8463" width="3" style="129" customWidth="1"/>
    <col min="8464" max="8464" width="2.7109375" style="129" customWidth="1"/>
    <col min="8465" max="8465" width="2.85546875" style="129" customWidth="1"/>
    <col min="8466" max="8466" width="2.7109375" style="129" customWidth="1"/>
    <col min="8467" max="8467" width="3.85546875" style="129" customWidth="1"/>
    <col min="8468" max="8468" width="2.7109375" style="129" customWidth="1"/>
    <col min="8469" max="8469" width="3.7109375" style="129" customWidth="1"/>
    <col min="8470" max="8470" width="2.7109375" style="129" customWidth="1"/>
    <col min="8471" max="8471" width="3" style="129" customWidth="1"/>
    <col min="8472" max="8474" width="2.85546875" style="129" customWidth="1"/>
    <col min="8475" max="8475" width="3.28515625" style="129" customWidth="1"/>
    <col min="8476" max="8476" width="3.140625" style="129" customWidth="1"/>
    <col min="8477" max="8479" width="3.28515625" style="129" customWidth="1"/>
    <col min="8480" max="8480" width="3" style="129" customWidth="1"/>
    <col min="8481" max="8481" width="3.140625" style="129" customWidth="1"/>
    <col min="8482" max="8482" width="3.5703125" style="129" customWidth="1"/>
    <col min="8483" max="8484" width="2.85546875" style="129" customWidth="1"/>
    <col min="8485" max="8485" width="3.42578125" style="129" customWidth="1"/>
    <col min="8486" max="8486" width="2.7109375" style="129" customWidth="1"/>
    <col min="8487" max="8487" width="2.28515625" style="129" customWidth="1"/>
    <col min="8488" max="8705" width="11.42578125" style="129"/>
    <col min="8706" max="8706" width="1.42578125" style="129" customWidth="1"/>
    <col min="8707" max="8707" width="4.28515625" style="129" customWidth="1"/>
    <col min="8708" max="8708" width="2.85546875" style="129" customWidth="1"/>
    <col min="8709" max="8709" width="3.42578125" style="129" customWidth="1"/>
    <col min="8710" max="8710" width="3.140625" style="129" customWidth="1"/>
    <col min="8711" max="8711" width="3.42578125" style="129" customWidth="1"/>
    <col min="8712" max="8712" width="3.5703125" style="129" customWidth="1"/>
    <col min="8713" max="8713" width="3.7109375" style="129" customWidth="1"/>
    <col min="8714" max="8714" width="3.140625" style="129" customWidth="1"/>
    <col min="8715" max="8715" width="3.28515625" style="129" customWidth="1"/>
    <col min="8716" max="8718" width="3.42578125" style="129" customWidth="1"/>
    <col min="8719" max="8719" width="3" style="129" customWidth="1"/>
    <col min="8720" max="8720" width="2.7109375" style="129" customWidth="1"/>
    <col min="8721" max="8721" width="2.85546875" style="129" customWidth="1"/>
    <col min="8722" max="8722" width="2.7109375" style="129" customWidth="1"/>
    <col min="8723" max="8723" width="3.85546875" style="129" customWidth="1"/>
    <col min="8724" max="8724" width="2.7109375" style="129" customWidth="1"/>
    <col min="8725" max="8725" width="3.7109375" style="129" customWidth="1"/>
    <col min="8726" max="8726" width="2.7109375" style="129" customWidth="1"/>
    <col min="8727" max="8727" width="3" style="129" customWidth="1"/>
    <col min="8728" max="8730" width="2.85546875" style="129" customWidth="1"/>
    <col min="8731" max="8731" width="3.28515625" style="129" customWidth="1"/>
    <col min="8732" max="8732" width="3.140625" style="129" customWidth="1"/>
    <col min="8733" max="8735" width="3.28515625" style="129" customWidth="1"/>
    <col min="8736" max="8736" width="3" style="129" customWidth="1"/>
    <col min="8737" max="8737" width="3.140625" style="129" customWidth="1"/>
    <col min="8738" max="8738" width="3.5703125" style="129" customWidth="1"/>
    <col min="8739" max="8740" width="2.85546875" style="129" customWidth="1"/>
    <col min="8741" max="8741" width="3.42578125" style="129" customWidth="1"/>
    <col min="8742" max="8742" width="2.7109375" style="129" customWidth="1"/>
    <col min="8743" max="8743" width="2.28515625" style="129" customWidth="1"/>
    <col min="8744" max="8961" width="11.42578125" style="129"/>
    <col min="8962" max="8962" width="1.42578125" style="129" customWidth="1"/>
    <col min="8963" max="8963" width="4.28515625" style="129" customWidth="1"/>
    <col min="8964" max="8964" width="2.85546875" style="129" customWidth="1"/>
    <col min="8965" max="8965" width="3.42578125" style="129" customWidth="1"/>
    <col min="8966" max="8966" width="3.140625" style="129" customWidth="1"/>
    <col min="8967" max="8967" width="3.42578125" style="129" customWidth="1"/>
    <col min="8968" max="8968" width="3.5703125" style="129" customWidth="1"/>
    <col min="8969" max="8969" width="3.7109375" style="129" customWidth="1"/>
    <col min="8970" max="8970" width="3.140625" style="129" customWidth="1"/>
    <col min="8971" max="8971" width="3.28515625" style="129" customWidth="1"/>
    <col min="8972" max="8974" width="3.42578125" style="129" customWidth="1"/>
    <col min="8975" max="8975" width="3" style="129" customWidth="1"/>
    <col min="8976" max="8976" width="2.7109375" style="129" customWidth="1"/>
    <col min="8977" max="8977" width="2.85546875" style="129" customWidth="1"/>
    <col min="8978" max="8978" width="2.7109375" style="129" customWidth="1"/>
    <col min="8979" max="8979" width="3.85546875" style="129" customWidth="1"/>
    <col min="8980" max="8980" width="2.7109375" style="129" customWidth="1"/>
    <col min="8981" max="8981" width="3.7109375" style="129" customWidth="1"/>
    <col min="8982" max="8982" width="2.7109375" style="129" customWidth="1"/>
    <col min="8983" max="8983" width="3" style="129" customWidth="1"/>
    <col min="8984" max="8986" width="2.85546875" style="129" customWidth="1"/>
    <col min="8987" max="8987" width="3.28515625" style="129" customWidth="1"/>
    <col min="8988" max="8988" width="3.140625" style="129" customWidth="1"/>
    <col min="8989" max="8991" width="3.28515625" style="129" customWidth="1"/>
    <col min="8992" max="8992" width="3" style="129" customWidth="1"/>
    <col min="8993" max="8993" width="3.140625" style="129" customWidth="1"/>
    <col min="8994" max="8994" width="3.5703125" style="129" customWidth="1"/>
    <col min="8995" max="8996" width="2.85546875" style="129" customWidth="1"/>
    <col min="8997" max="8997" width="3.42578125" style="129" customWidth="1"/>
    <col min="8998" max="8998" width="2.7109375" style="129" customWidth="1"/>
    <col min="8999" max="8999" width="2.28515625" style="129" customWidth="1"/>
    <col min="9000" max="9217" width="11.42578125" style="129"/>
    <col min="9218" max="9218" width="1.42578125" style="129" customWidth="1"/>
    <col min="9219" max="9219" width="4.28515625" style="129" customWidth="1"/>
    <col min="9220" max="9220" width="2.85546875" style="129" customWidth="1"/>
    <col min="9221" max="9221" width="3.42578125" style="129" customWidth="1"/>
    <col min="9222" max="9222" width="3.140625" style="129" customWidth="1"/>
    <col min="9223" max="9223" width="3.42578125" style="129" customWidth="1"/>
    <col min="9224" max="9224" width="3.5703125" style="129" customWidth="1"/>
    <col min="9225" max="9225" width="3.7109375" style="129" customWidth="1"/>
    <col min="9226" max="9226" width="3.140625" style="129" customWidth="1"/>
    <col min="9227" max="9227" width="3.28515625" style="129" customWidth="1"/>
    <col min="9228" max="9230" width="3.42578125" style="129" customWidth="1"/>
    <col min="9231" max="9231" width="3" style="129" customWidth="1"/>
    <col min="9232" max="9232" width="2.7109375" style="129" customWidth="1"/>
    <col min="9233" max="9233" width="2.85546875" style="129" customWidth="1"/>
    <col min="9234" max="9234" width="2.7109375" style="129" customWidth="1"/>
    <col min="9235" max="9235" width="3.85546875" style="129" customWidth="1"/>
    <col min="9236" max="9236" width="2.7109375" style="129" customWidth="1"/>
    <col min="9237" max="9237" width="3.7109375" style="129" customWidth="1"/>
    <col min="9238" max="9238" width="2.7109375" style="129" customWidth="1"/>
    <col min="9239" max="9239" width="3" style="129" customWidth="1"/>
    <col min="9240" max="9242" width="2.85546875" style="129" customWidth="1"/>
    <col min="9243" max="9243" width="3.28515625" style="129" customWidth="1"/>
    <col min="9244" max="9244" width="3.140625" style="129" customWidth="1"/>
    <col min="9245" max="9247" width="3.28515625" style="129" customWidth="1"/>
    <col min="9248" max="9248" width="3" style="129" customWidth="1"/>
    <col min="9249" max="9249" width="3.140625" style="129" customWidth="1"/>
    <col min="9250" max="9250" width="3.5703125" style="129" customWidth="1"/>
    <col min="9251" max="9252" width="2.85546875" style="129" customWidth="1"/>
    <col min="9253" max="9253" width="3.42578125" style="129" customWidth="1"/>
    <col min="9254" max="9254" width="2.7109375" style="129" customWidth="1"/>
    <col min="9255" max="9255" width="2.28515625" style="129" customWidth="1"/>
    <col min="9256" max="9473" width="11.42578125" style="129"/>
    <col min="9474" max="9474" width="1.42578125" style="129" customWidth="1"/>
    <col min="9475" max="9475" width="4.28515625" style="129" customWidth="1"/>
    <col min="9476" max="9476" width="2.85546875" style="129" customWidth="1"/>
    <col min="9477" max="9477" width="3.42578125" style="129" customWidth="1"/>
    <col min="9478" max="9478" width="3.140625" style="129" customWidth="1"/>
    <col min="9479" max="9479" width="3.42578125" style="129" customWidth="1"/>
    <col min="9480" max="9480" width="3.5703125" style="129" customWidth="1"/>
    <col min="9481" max="9481" width="3.7109375" style="129" customWidth="1"/>
    <col min="9482" max="9482" width="3.140625" style="129" customWidth="1"/>
    <col min="9483" max="9483" width="3.28515625" style="129" customWidth="1"/>
    <col min="9484" max="9486" width="3.42578125" style="129" customWidth="1"/>
    <col min="9487" max="9487" width="3" style="129" customWidth="1"/>
    <col min="9488" max="9488" width="2.7109375" style="129" customWidth="1"/>
    <col min="9489" max="9489" width="2.85546875" style="129" customWidth="1"/>
    <col min="9490" max="9490" width="2.7109375" style="129" customWidth="1"/>
    <col min="9491" max="9491" width="3.85546875" style="129" customWidth="1"/>
    <col min="9492" max="9492" width="2.7109375" style="129" customWidth="1"/>
    <col min="9493" max="9493" width="3.7109375" style="129" customWidth="1"/>
    <col min="9494" max="9494" width="2.7109375" style="129" customWidth="1"/>
    <col min="9495" max="9495" width="3" style="129" customWidth="1"/>
    <col min="9496" max="9498" width="2.85546875" style="129" customWidth="1"/>
    <col min="9499" max="9499" width="3.28515625" style="129" customWidth="1"/>
    <col min="9500" max="9500" width="3.140625" style="129" customWidth="1"/>
    <col min="9501" max="9503" width="3.28515625" style="129" customWidth="1"/>
    <col min="9504" max="9504" width="3" style="129" customWidth="1"/>
    <col min="9505" max="9505" width="3.140625" style="129" customWidth="1"/>
    <col min="9506" max="9506" width="3.5703125" style="129" customWidth="1"/>
    <col min="9507" max="9508" width="2.85546875" style="129" customWidth="1"/>
    <col min="9509" max="9509" width="3.42578125" style="129" customWidth="1"/>
    <col min="9510" max="9510" width="2.7109375" style="129" customWidth="1"/>
    <col min="9511" max="9511" width="2.28515625" style="129" customWidth="1"/>
    <col min="9512" max="9729" width="11.42578125" style="129"/>
    <col min="9730" max="9730" width="1.42578125" style="129" customWidth="1"/>
    <col min="9731" max="9731" width="4.28515625" style="129" customWidth="1"/>
    <col min="9732" max="9732" width="2.85546875" style="129" customWidth="1"/>
    <col min="9733" max="9733" width="3.42578125" style="129" customWidth="1"/>
    <col min="9734" max="9734" width="3.140625" style="129" customWidth="1"/>
    <col min="9735" max="9735" width="3.42578125" style="129" customWidth="1"/>
    <col min="9736" max="9736" width="3.5703125" style="129" customWidth="1"/>
    <col min="9737" max="9737" width="3.7109375" style="129" customWidth="1"/>
    <col min="9738" max="9738" width="3.140625" style="129" customWidth="1"/>
    <col min="9739" max="9739" width="3.28515625" style="129" customWidth="1"/>
    <col min="9740" max="9742" width="3.42578125" style="129" customWidth="1"/>
    <col min="9743" max="9743" width="3" style="129" customWidth="1"/>
    <col min="9744" max="9744" width="2.7109375" style="129" customWidth="1"/>
    <col min="9745" max="9745" width="2.85546875" style="129" customWidth="1"/>
    <col min="9746" max="9746" width="2.7109375" style="129" customWidth="1"/>
    <col min="9747" max="9747" width="3.85546875" style="129" customWidth="1"/>
    <col min="9748" max="9748" width="2.7109375" style="129" customWidth="1"/>
    <col min="9749" max="9749" width="3.7109375" style="129" customWidth="1"/>
    <col min="9750" max="9750" width="2.7109375" style="129" customWidth="1"/>
    <col min="9751" max="9751" width="3" style="129" customWidth="1"/>
    <col min="9752" max="9754" width="2.85546875" style="129" customWidth="1"/>
    <col min="9755" max="9755" width="3.28515625" style="129" customWidth="1"/>
    <col min="9756" max="9756" width="3.140625" style="129" customWidth="1"/>
    <col min="9757" max="9759" width="3.28515625" style="129" customWidth="1"/>
    <col min="9760" max="9760" width="3" style="129" customWidth="1"/>
    <col min="9761" max="9761" width="3.140625" style="129" customWidth="1"/>
    <col min="9762" max="9762" width="3.5703125" style="129" customWidth="1"/>
    <col min="9763" max="9764" width="2.85546875" style="129" customWidth="1"/>
    <col min="9765" max="9765" width="3.42578125" style="129" customWidth="1"/>
    <col min="9766" max="9766" width="2.7109375" style="129" customWidth="1"/>
    <col min="9767" max="9767" width="2.28515625" style="129" customWidth="1"/>
    <col min="9768" max="9985" width="11.42578125" style="129"/>
    <col min="9986" max="9986" width="1.42578125" style="129" customWidth="1"/>
    <col min="9987" max="9987" width="4.28515625" style="129" customWidth="1"/>
    <col min="9988" max="9988" width="2.85546875" style="129" customWidth="1"/>
    <col min="9989" max="9989" width="3.42578125" style="129" customWidth="1"/>
    <col min="9990" max="9990" width="3.140625" style="129" customWidth="1"/>
    <col min="9991" max="9991" width="3.42578125" style="129" customWidth="1"/>
    <col min="9992" max="9992" width="3.5703125" style="129" customWidth="1"/>
    <col min="9993" max="9993" width="3.7109375" style="129" customWidth="1"/>
    <col min="9994" max="9994" width="3.140625" style="129" customWidth="1"/>
    <col min="9995" max="9995" width="3.28515625" style="129" customWidth="1"/>
    <col min="9996" max="9998" width="3.42578125" style="129" customWidth="1"/>
    <col min="9999" max="9999" width="3" style="129" customWidth="1"/>
    <col min="10000" max="10000" width="2.7109375" style="129" customWidth="1"/>
    <col min="10001" max="10001" width="2.85546875" style="129" customWidth="1"/>
    <col min="10002" max="10002" width="2.7109375" style="129" customWidth="1"/>
    <col min="10003" max="10003" width="3.85546875" style="129" customWidth="1"/>
    <col min="10004" max="10004" width="2.7109375" style="129" customWidth="1"/>
    <col min="10005" max="10005" width="3.7109375" style="129" customWidth="1"/>
    <col min="10006" max="10006" width="2.7109375" style="129" customWidth="1"/>
    <col min="10007" max="10007" width="3" style="129" customWidth="1"/>
    <col min="10008" max="10010" width="2.85546875" style="129" customWidth="1"/>
    <col min="10011" max="10011" width="3.28515625" style="129" customWidth="1"/>
    <col min="10012" max="10012" width="3.140625" style="129" customWidth="1"/>
    <col min="10013" max="10015" width="3.28515625" style="129" customWidth="1"/>
    <col min="10016" max="10016" width="3" style="129" customWidth="1"/>
    <col min="10017" max="10017" width="3.140625" style="129" customWidth="1"/>
    <col min="10018" max="10018" width="3.5703125" style="129" customWidth="1"/>
    <col min="10019" max="10020" width="2.85546875" style="129" customWidth="1"/>
    <col min="10021" max="10021" width="3.42578125" style="129" customWidth="1"/>
    <col min="10022" max="10022" width="2.7109375" style="129" customWidth="1"/>
    <col min="10023" max="10023" width="2.28515625" style="129" customWidth="1"/>
    <col min="10024" max="10241" width="11.42578125" style="129"/>
    <col min="10242" max="10242" width="1.42578125" style="129" customWidth="1"/>
    <col min="10243" max="10243" width="4.28515625" style="129" customWidth="1"/>
    <col min="10244" max="10244" width="2.85546875" style="129" customWidth="1"/>
    <col min="10245" max="10245" width="3.42578125" style="129" customWidth="1"/>
    <col min="10246" max="10246" width="3.140625" style="129" customWidth="1"/>
    <col min="10247" max="10247" width="3.42578125" style="129" customWidth="1"/>
    <col min="10248" max="10248" width="3.5703125" style="129" customWidth="1"/>
    <col min="10249" max="10249" width="3.7109375" style="129" customWidth="1"/>
    <col min="10250" max="10250" width="3.140625" style="129" customWidth="1"/>
    <col min="10251" max="10251" width="3.28515625" style="129" customWidth="1"/>
    <col min="10252" max="10254" width="3.42578125" style="129" customWidth="1"/>
    <col min="10255" max="10255" width="3" style="129" customWidth="1"/>
    <col min="10256" max="10256" width="2.7109375" style="129" customWidth="1"/>
    <col min="10257" max="10257" width="2.85546875" style="129" customWidth="1"/>
    <col min="10258" max="10258" width="2.7109375" style="129" customWidth="1"/>
    <col min="10259" max="10259" width="3.85546875" style="129" customWidth="1"/>
    <col min="10260" max="10260" width="2.7109375" style="129" customWidth="1"/>
    <col min="10261" max="10261" width="3.7109375" style="129" customWidth="1"/>
    <col min="10262" max="10262" width="2.7109375" style="129" customWidth="1"/>
    <col min="10263" max="10263" width="3" style="129" customWidth="1"/>
    <col min="10264" max="10266" width="2.85546875" style="129" customWidth="1"/>
    <col min="10267" max="10267" width="3.28515625" style="129" customWidth="1"/>
    <col min="10268" max="10268" width="3.140625" style="129" customWidth="1"/>
    <col min="10269" max="10271" width="3.28515625" style="129" customWidth="1"/>
    <col min="10272" max="10272" width="3" style="129" customWidth="1"/>
    <col min="10273" max="10273" width="3.140625" style="129" customWidth="1"/>
    <col min="10274" max="10274" width="3.5703125" style="129" customWidth="1"/>
    <col min="10275" max="10276" width="2.85546875" style="129" customWidth="1"/>
    <col min="10277" max="10277" width="3.42578125" style="129" customWidth="1"/>
    <col min="10278" max="10278" width="2.7109375" style="129" customWidth="1"/>
    <col min="10279" max="10279" width="2.28515625" style="129" customWidth="1"/>
    <col min="10280" max="10497" width="11.42578125" style="129"/>
    <col min="10498" max="10498" width="1.42578125" style="129" customWidth="1"/>
    <col min="10499" max="10499" width="4.28515625" style="129" customWidth="1"/>
    <col min="10500" max="10500" width="2.85546875" style="129" customWidth="1"/>
    <col min="10501" max="10501" width="3.42578125" style="129" customWidth="1"/>
    <col min="10502" max="10502" width="3.140625" style="129" customWidth="1"/>
    <col min="10503" max="10503" width="3.42578125" style="129" customWidth="1"/>
    <col min="10504" max="10504" width="3.5703125" style="129" customWidth="1"/>
    <col min="10505" max="10505" width="3.7109375" style="129" customWidth="1"/>
    <col min="10506" max="10506" width="3.140625" style="129" customWidth="1"/>
    <col min="10507" max="10507" width="3.28515625" style="129" customWidth="1"/>
    <col min="10508" max="10510" width="3.42578125" style="129" customWidth="1"/>
    <col min="10511" max="10511" width="3" style="129" customWidth="1"/>
    <col min="10512" max="10512" width="2.7109375" style="129" customWidth="1"/>
    <col min="10513" max="10513" width="2.85546875" style="129" customWidth="1"/>
    <col min="10514" max="10514" width="2.7109375" style="129" customWidth="1"/>
    <col min="10515" max="10515" width="3.85546875" style="129" customWidth="1"/>
    <col min="10516" max="10516" width="2.7109375" style="129" customWidth="1"/>
    <col min="10517" max="10517" width="3.7109375" style="129" customWidth="1"/>
    <col min="10518" max="10518" width="2.7109375" style="129" customWidth="1"/>
    <col min="10519" max="10519" width="3" style="129" customWidth="1"/>
    <col min="10520" max="10522" width="2.85546875" style="129" customWidth="1"/>
    <col min="10523" max="10523" width="3.28515625" style="129" customWidth="1"/>
    <col min="10524" max="10524" width="3.140625" style="129" customWidth="1"/>
    <col min="10525" max="10527" width="3.28515625" style="129" customWidth="1"/>
    <col min="10528" max="10528" width="3" style="129" customWidth="1"/>
    <col min="10529" max="10529" width="3.140625" style="129" customWidth="1"/>
    <col min="10530" max="10530" width="3.5703125" style="129" customWidth="1"/>
    <col min="10531" max="10532" width="2.85546875" style="129" customWidth="1"/>
    <col min="10533" max="10533" width="3.42578125" style="129" customWidth="1"/>
    <col min="10534" max="10534" width="2.7109375" style="129" customWidth="1"/>
    <col min="10535" max="10535" width="2.28515625" style="129" customWidth="1"/>
    <col min="10536" max="10753" width="11.42578125" style="129"/>
    <col min="10754" max="10754" width="1.42578125" style="129" customWidth="1"/>
    <col min="10755" max="10755" width="4.28515625" style="129" customWidth="1"/>
    <col min="10756" max="10756" width="2.85546875" style="129" customWidth="1"/>
    <col min="10757" max="10757" width="3.42578125" style="129" customWidth="1"/>
    <col min="10758" max="10758" width="3.140625" style="129" customWidth="1"/>
    <col min="10759" max="10759" width="3.42578125" style="129" customWidth="1"/>
    <col min="10760" max="10760" width="3.5703125" style="129" customWidth="1"/>
    <col min="10761" max="10761" width="3.7109375" style="129" customWidth="1"/>
    <col min="10762" max="10762" width="3.140625" style="129" customWidth="1"/>
    <col min="10763" max="10763" width="3.28515625" style="129" customWidth="1"/>
    <col min="10764" max="10766" width="3.42578125" style="129" customWidth="1"/>
    <col min="10767" max="10767" width="3" style="129" customWidth="1"/>
    <col min="10768" max="10768" width="2.7109375" style="129" customWidth="1"/>
    <col min="10769" max="10769" width="2.85546875" style="129" customWidth="1"/>
    <col min="10770" max="10770" width="2.7109375" style="129" customWidth="1"/>
    <col min="10771" max="10771" width="3.85546875" style="129" customWidth="1"/>
    <col min="10772" max="10772" width="2.7109375" style="129" customWidth="1"/>
    <col min="10773" max="10773" width="3.7109375" style="129" customWidth="1"/>
    <col min="10774" max="10774" width="2.7109375" style="129" customWidth="1"/>
    <col min="10775" max="10775" width="3" style="129" customWidth="1"/>
    <col min="10776" max="10778" width="2.85546875" style="129" customWidth="1"/>
    <col min="10779" max="10779" width="3.28515625" style="129" customWidth="1"/>
    <col min="10780" max="10780" width="3.140625" style="129" customWidth="1"/>
    <col min="10781" max="10783" width="3.28515625" style="129" customWidth="1"/>
    <col min="10784" max="10784" width="3" style="129" customWidth="1"/>
    <col min="10785" max="10785" width="3.140625" style="129" customWidth="1"/>
    <col min="10786" max="10786" width="3.5703125" style="129" customWidth="1"/>
    <col min="10787" max="10788" width="2.85546875" style="129" customWidth="1"/>
    <col min="10789" max="10789" width="3.42578125" style="129" customWidth="1"/>
    <col min="10790" max="10790" width="2.7109375" style="129" customWidth="1"/>
    <col min="10791" max="10791" width="2.28515625" style="129" customWidth="1"/>
    <col min="10792" max="11009" width="11.42578125" style="129"/>
    <col min="11010" max="11010" width="1.42578125" style="129" customWidth="1"/>
    <col min="11011" max="11011" width="4.28515625" style="129" customWidth="1"/>
    <col min="11012" max="11012" width="2.85546875" style="129" customWidth="1"/>
    <col min="11013" max="11013" width="3.42578125" style="129" customWidth="1"/>
    <col min="11014" max="11014" width="3.140625" style="129" customWidth="1"/>
    <col min="11015" max="11015" width="3.42578125" style="129" customWidth="1"/>
    <col min="11016" max="11016" width="3.5703125" style="129" customWidth="1"/>
    <col min="11017" max="11017" width="3.7109375" style="129" customWidth="1"/>
    <col min="11018" max="11018" width="3.140625" style="129" customWidth="1"/>
    <col min="11019" max="11019" width="3.28515625" style="129" customWidth="1"/>
    <col min="11020" max="11022" width="3.42578125" style="129" customWidth="1"/>
    <col min="11023" max="11023" width="3" style="129" customWidth="1"/>
    <col min="11024" max="11024" width="2.7109375" style="129" customWidth="1"/>
    <col min="11025" max="11025" width="2.85546875" style="129" customWidth="1"/>
    <col min="11026" max="11026" width="2.7109375" style="129" customWidth="1"/>
    <col min="11027" max="11027" width="3.85546875" style="129" customWidth="1"/>
    <col min="11028" max="11028" width="2.7109375" style="129" customWidth="1"/>
    <col min="11029" max="11029" width="3.7109375" style="129" customWidth="1"/>
    <col min="11030" max="11030" width="2.7109375" style="129" customWidth="1"/>
    <col min="11031" max="11031" width="3" style="129" customWidth="1"/>
    <col min="11032" max="11034" width="2.85546875" style="129" customWidth="1"/>
    <col min="11035" max="11035" width="3.28515625" style="129" customWidth="1"/>
    <col min="11036" max="11036" width="3.140625" style="129" customWidth="1"/>
    <col min="11037" max="11039" width="3.28515625" style="129" customWidth="1"/>
    <col min="11040" max="11040" width="3" style="129" customWidth="1"/>
    <col min="11041" max="11041" width="3.140625" style="129" customWidth="1"/>
    <col min="11042" max="11042" width="3.5703125" style="129" customWidth="1"/>
    <col min="11043" max="11044" width="2.85546875" style="129" customWidth="1"/>
    <col min="11045" max="11045" width="3.42578125" style="129" customWidth="1"/>
    <col min="11046" max="11046" width="2.7109375" style="129" customWidth="1"/>
    <col min="11047" max="11047" width="2.28515625" style="129" customWidth="1"/>
    <col min="11048" max="11265" width="11.42578125" style="129"/>
    <col min="11266" max="11266" width="1.42578125" style="129" customWidth="1"/>
    <col min="11267" max="11267" width="4.28515625" style="129" customWidth="1"/>
    <col min="11268" max="11268" width="2.85546875" style="129" customWidth="1"/>
    <col min="11269" max="11269" width="3.42578125" style="129" customWidth="1"/>
    <col min="11270" max="11270" width="3.140625" style="129" customWidth="1"/>
    <col min="11271" max="11271" width="3.42578125" style="129" customWidth="1"/>
    <col min="11272" max="11272" width="3.5703125" style="129" customWidth="1"/>
    <col min="11273" max="11273" width="3.7109375" style="129" customWidth="1"/>
    <col min="11274" max="11274" width="3.140625" style="129" customWidth="1"/>
    <col min="11275" max="11275" width="3.28515625" style="129" customWidth="1"/>
    <col min="11276" max="11278" width="3.42578125" style="129" customWidth="1"/>
    <col min="11279" max="11279" width="3" style="129" customWidth="1"/>
    <col min="11280" max="11280" width="2.7109375" style="129" customWidth="1"/>
    <col min="11281" max="11281" width="2.85546875" style="129" customWidth="1"/>
    <col min="11282" max="11282" width="2.7109375" style="129" customWidth="1"/>
    <col min="11283" max="11283" width="3.85546875" style="129" customWidth="1"/>
    <col min="11284" max="11284" width="2.7109375" style="129" customWidth="1"/>
    <col min="11285" max="11285" width="3.7109375" style="129" customWidth="1"/>
    <col min="11286" max="11286" width="2.7109375" style="129" customWidth="1"/>
    <col min="11287" max="11287" width="3" style="129" customWidth="1"/>
    <col min="11288" max="11290" width="2.85546875" style="129" customWidth="1"/>
    <col min="11291" max="11291" width="3.28515625" style="129" customWidth="1"/>
    <col min="11292" max="11292" width="3.140625" style="129" customWidth="1"/>
    <col min="11293" max="11295" width="3.28515625" style="129" customWidth="1"/>
    <col min="11296" max="11296" width="3" style="129" customWidth="1"/>
    <col min="11297" max="11297" width="3.140625" style="129" customWidth="1"/>
    <col min="11298" max="11298" width="3.5703125" style="129" customWidth="1"/>
    <col min="11299" max="11300" width="2.85546875" style="129" customWidth="1"/>
    <col min="11301" max="11301" width="3.42578125" style="129" customWidth="1"/>
    <col min="11302" max="11302" width="2.7109375" style="129" customWidth="1"/>
    <col min="11303" max="11303" width="2.28515625" style="129" customWidth="1"/>
    <col min="11304" max="11521" width="11.42578125" style="129"/>
    <col min="11522" max="11522" width="1.42578125" style="129" customWidth="1"/>
    <col min="11523" max="11523" width="4.28515625" style="129" customWidth="1"/>
    <col min="11524" max="11524" width="2.85546875" style="129" customWidth="1"/>
    <col min="11525" max="11525" width="3.42578125" style="129" customWidth="1"/>
    <col min="11526" max="11526" width="3.140625" style="129" customWidth="1"/>
    <col min="11527" max="11527" width="3.42578125" style="129" customWidth="1"/>
    <col min="11528" max="11528" width="3.5703125" style="129" customWidth="1"/>
    <col min="11529" max="11529" width="3.7109375" style="129" customWidth="1"/>
    <col min="11530" max="11530" width="3.140625" style="129" customWidth="1"/>
    <col min="11531" max="11531" width="3.28515625" style="129" customWidth="1"/>
    <col min="11532" max="11534" width="3.42578125" style="129" customWidth="1"/>
    <col min="11535" max="11535" width="3" style="129" customWidth="1"/>
    <col min="11536" max="11536" width="2.7109375" style="129" customWidth="1"/>
    <col min="11537" max="11537" width="2.85546875" style="129" customWidth="1"/>
    <col min="11538" max="11538" width="2.7109375" style="129" customWidth="1"/>
    <col min="11539" max="11539" width="3.85546875" style="129" customWidth="1"/>
    <col min="11540" max="11540" width="2.7109375" style="129" customWidth="1"/>
    <col min="11541" max="11541" width="3.7109375" style="129" customWidth="1"/>
    <col min="11542" max="11542" width="2.7109375" style="129" customWidth="1"/>
    <col min="11543" max="11543" width="3" style="129" customWidth="1"/>
    <col min="11544" max="11546" width="2.85546875" style="129" customWidth="1"/>
    <col min="11547" max="11547" width="3.28515625" style="129" customWidth="1"/>
    <col min="11548" max="11548" width="3.140625" style="129" customWidth="1"/>
    <col min="11549" max="11551" width="3.28515625" style="129" customWidth="1"/>
    <col min="11552" max="11552" width="3" style="129" customWidth="1"/>
    <col min="11553" max="11553" width="3.140625" style="129" customWidth="1"/>
    <col min="11554" max="11554" width="3.5703125" style="129" customWidth="1"/>
    <col min="11555" max="11556" width="2.85546875" style="129" customWidth="1"/>
    <col min="11557" max="11557" width="3.42578125" style="129" customWidth="1"/>
    <col min="11558" max="11558" width="2.7109375" style="129" customWidth="1"/>
    <col min="11559" max="11559" width="2.28515625" style="129" customWidth="1"/>
    <col min="11560" max="11777" width="11.42578125" style="129"/>
    <col min="11778" max="11778" width="1.42578125" style="129" customWidth="1"/>
    <col min="11779" max="11779" width="4.28515625" style="129" customWidth="1"/>
    <col min="11780" max="11780" width="2.85546875" style="129" customWidth="1"/>
    <col min="11781" max="11781" width="3.42578125" style="129" customWidth="1"/>
    <col min="11782" max="11782" width="3.140625" style="129" customWidth="1"/>
    <col min="11783" max="11783" width="3.42578125" style="129" customWidth="1"/>
    <col min="11784" max="11784" width="3.5703125" style="129" customWidth="1"/>
    <col min="11785" max="11785" width="3.7109375" style="129" customWidth="1"/>
    <col min="11786" max="11786" width="3.140625" style="129" customWidth="1"/>
    <col min="11787" max="11787" width="3.28515625" style="129" customWidth="1"/>
    <col min="11788" max="11790" width="3.42578125" style="129" customWidth="1"/>
    <col min="11791" max="11791" width="3" style="129" customWidth="1"/>
    <col min="11792" max="11792" width="2.7109375" style="129" customWidth="1"/>
    <col min="11793" max="11793" width="2.85546875" style="129" customWidth="1"/>
    <col min="11794" max="11794" width="2.7109375" style="129" customWidth="1"/>
    <col min="11795" max="11795" width="3.85546875" style="129" customWidth="1"/>
    <col min="11796" max="11796" width="2.7109375" style="129" customWidth="1"/>
    <col min="11797" max="11797" width="3.7109375" style="129" customWidth="1"/>
    <col min="11798" max="11798" width="2.7109375" style="129" customWidth="1"/>
    <col min="11799" max="11799" width="3" style="129" customWidth="1"/>
    <col min="11800" max="11802" width="2.85546875" style="129" customWidth="1"/>
    <col min="11803" max="11803" width="3.28515625" style="129" customWidth="1"/>
    <col min="11804" max="11804" width="3.140625" style="129" customWidth="1"/>
    <col min="11805" max="11807" width="3.28515625" style="129" customWidth="1"/>
    <col min="11808" max="11808" width="3" style="129" customWidth="1"/>
    <col min="11809" max="11809" width="3.140625" style="129" customWidth="1"/>
    <col min="11810" max="11810" width="3.5703125" style="129" customWidth="1"/>
    <col min="11811" max="11812" width="2.85546875" style="129" customWidth="1"/>
    <col min="11813" max="11813" width="3.42578125" style="129" customWidth="1"/>
    <col min="11814" max="11814" width="2.7109375" style="129" customWidth="1"/>
    <col min="11815" max="11815" width="2.28515625" style="129" customWidth="1"/>
    <col min="11816" max="12033" width="11.42578125" style="129"/>
    <col min="12034" max="12034" width="1.42578125" style="129" customWidth="1"/>
    <col min="12035" max="12035" width="4.28515625" style="129" customWidth="1"/>
    <col min="12036" max="12036" width="2.85546875" style="129" customWidth="1"/>
    <col min="12037" max="12037" width="3.42578125" style="129" customWidth="1"/>
    <col min="12038" max="12038" width="3.140625" style="129" customWidth="1"/>
    <col min="12039" max="12039" width="3.42578125" style="129" customWidth="1"/>
    <col min="12040" max="12040" width="3.5703125" style="129" customWidth="1"/>
    <col min="12041" max="12041" width="3.7109375" style="129" customWidth="1"/>
    <col min="12042" max="12042" width="3.140625" style="129" customWidth="1"/>
    <col min="12043" max="12043" width="3.28515625" style="129" customWidth="1"/>
    <col min="12044" max="12046" width="3.42578125" style="129" customWidth="1"/>
    <col min="12047" max="12047" width="3" style="129" customWidth="1"/>
    <col min="12048" max="12048" width="2.7109375" style="129" customWidth="1"/>
    <col min="12049" max="12049" width="2.85546875" style="129" customWidth="1"/>
    <col min="12050" max="12050" width="2.7109375" style="129" customWidth="1"/>
    <col min="12051" max="12051" width="3.85546875" style="129" customWidth="1"/>
    <col min="12052" max="12052" width="2.7109375" style="129" customWidth="1"/>
    <col min="12053" max="12053" width="3.7109375" style="129" customWidth="1"/>
    <col min="12054" max="12054" width="2.7109375" style="129" customWidth="1"/>
    <col min="12055" max="12055" width="3" style="129" customWidth="1"/>
    <col min="12056" max="12058" width="2.85546875" style="129" customWidth="1"/>
    <col min="12059" max="12059" width="3.28515625" style="129" customWidth="1"/>
    <col min="12060" max="12060" width="3.140625" style="129" customWidth="1"/>
    <col min="12061" max="12063" width="3.28515625" style="129" customWidth="1"/>
    <col min="12064" max="12064" width="3" style="129" customWidth="1"/>
    <col min="12065" max="12065" width="3.140625" style="129" customWidth="1"/>
    <col min="12066" max="12066" width="3.5703125" style="129" customWidth="1"/>
    <col min="12067" max="12068" width="2.85546875" style="129" customWidth="1"/>
    <col min="12069" max="12069" width="3.42578125" style="129" customWidth="1"/>
    <col min="12070" max="12070" width="2.7109375" style="129" customWidth="1"/>
    <col min="12071" max="12071" width="2.28515625" style="129" customWidth="1"/>
    <col min="12072" max="12289" width="11.42578125" style="129"/>
    <col min="12290" max="12290" width="1.42578125" style="129" customWidth="1"/>
    <col min="12291" max="12291" width="4.28515625" style="129" customWidth="1"/>
    <col min="12292" max="12292" width="2.85546875" style="129" customWidth="1"/>
    <col min="12293" max="12293" width="3.42578125" style="129" customWidth="1"/>
    <col min="12294" max="12294" width="3.140625" style="129" customWidth="1"/>
    <col min="12295" max="12295" width="3.42578125" style="129" customWidth="1"/>
    <col min="12296" max="12296" width="3.5703125" style="129" customWidth="1"/>
    <col min="12297" max="12297" width="3.7109375" style="129" customWidth="1"/>
    <col min="12298" max="12298" width="3.140625" style="129" customWidth="1"/>
    <col min="12299" max="12299" width="3.28515625" style="129" customWidth="1"/>
    <col min="12300" max="12302" width="3.42578125" style="129" customWidth="1"/>
    <col min="12303" max="12303" width="3" style="129" customWidth="1"/>
    <col min="12304" max="12304" width="2.7109375" style="129" customWidth="1"/>
    <col min="12305" max="12305" width="2.85546875" style="129" customWidth="1"/>
    <col min="12306" max="12306" width="2.7109375" style="129" customWidth="1"/>
    <col min="12307" max="12307" width="3.85546875" style="129" customWidth="1"/>
    <col min="12308" max="12308" width="2.7109375" style="129" customWidth="1"/>
    <col min="12309" max="12309" width="3.7109375" style="129" customWidth="1"/>
    <col min="12310" max="12310" width="2.7109375" style="129" customWidth="1"/>
    <col min="12311" max="12311" width="3" style="129" customWidth="1"/>
    <col min="12312" max="12314" width="2.85546875" style="129" customWidth="1"/>
    <col min="12315" max="12315" width="3.28515625" style="129" customWidth="1"/>
    <col min="12316" max="12316" width="3.140625" style="129" customWidth="1"/>
    <col min="12317" max="12319" width="3.28515625" style="129" customWidth="1"/>
    <col min="12320" max="12320" width="3" style="129" customWidth="1"/>
    <col min="12321" max="12321" width="3.140625" style="129" customWidth="1"/>
    <col min="12322" max="12322" width="3.5703125" style="129" customWidth="1"/>
    <col min="12323" max="12324" width="2.85546875" style="129" customWidth="1"/>
    <col min="12325" max="12325" width="3.42578125" style="129" customWidth="1"/>
    <col min="12326" max="12326" width="2.7109375" style="129" customWidth="1"/>
    <col min="12327" max="12327" width="2.28515625" style="129" customWidth="1"/>
    <col min="12328" max="12545" width="11.42578125" style="129"/>
    <col min="12546" max="12546" width="1.42578125" style="129" customWidth="1"/>
    <col min="12547" max="12547" width="4.28515625" style="129" customWidth="1"/>
    <col min="12548" max="12548" width="2.85546875" style="129" customWidth="1"/>
    <col min="12549" max="12549" width="3.42578125" style="129" customWidth="1"/>
    <col min="12550" max="12550" width="3.140625" style="129" customWidth="1"/>
    <col min="12551" max="12551" width="3.42578125" style="129" customWidth="1"/>
    <col min="12552" max="12552" width="3.5703125" style="129" customWidth="1"/>
    <col min="12553" max="12553" width="3.7109375" style="129" customWidth="1"/>
    <col min="12554" max="12554" width="3.140625" style="129" customWidth="1"/>
    <col min="12555" max="12555" width="3.28515625" style="129" customWidth="1"/>
    <col min="12556" max="12558" width="3.42578125" style="129" customWidth="1"/>
    <col min="12559" max="12559" width="3" style="129" customWidth="1"/>
    <col min="12560" max="12560" width="2.7109375" style="129" customWidth="1"/>
    <col min="12561" max="12561" width="2.85546875" style="129" customWidth="1"/>
    <col min="12562" max="12562" width="2.7109375" style="129" customWidth="1"/>
    <col min="12563" max="12563" width="3.85546875" style="129" customWidth="1"/>
    <col min="12564" max="12564" width="2.7109375" style="129" customWidth="1"/>
    <col min="12565" max="12565" width="3.7109375" style="129" customWidth="1"/>
    <col min="12566" max="12566" width="2.7109375" style="129" customWidth="1"/>
    <col min="12567" max="12567" width="3" style="129" customWidth="1"/>
    <col min="12568" max="12570" width="2.85546875" style="129" customWidth="1"/>
    <col min="12571" max="12571" width="3.28515625" style="129" customWidth="1"/>
    <col min="12572" max="12572" width="3.140625" style="129" customWidth="1"/>
    <col min="12573" max="12575" width="3.28515625" style="129" customWidth="1"/>
    <col min="12576" max="12576" width="3" style="129" customWidth="1"/>
    <col min="12577" max="12577" width="3.140625" style="129" customWidth="1"/>
    <col min="12578" max="12578" width="3.5703125" style="129" customWidth="1"/>
    <col min="12579" max="12580" width="2.85546875" style="129" customWidth="1"/>
    <col min="12581" max="12581" width="3.42578125" style="129" customWidth="1"/>
    <col min="12582" max="12582" width="2.7109375" style="129" customWidth="1"/>
    <col min="12583" max="12583" width="2.28515625" style="129" customWidth="1"/>
    <col min="12584" max="12801" width="11.42578125" style="129"/>
    <col min="12802" max="12802" width="1.42578125" style="129" customWidth="1"/>
    <col min="12803" max="12803" width="4.28515625" style="129" customWidth="1"/>
    <col min="12804" max="12804" width="2.85546875" style="129" customWidth="1"/>
    <col min="12805" max="12805" width="3.42578125" style="129" customWidth="1"/>
    <col min="12806" max="12806" width="3.140625" style="129" customWidth="1"/>
    <col min="12807" max="12807" width="3.42578125" style="129" customWidth="1"/>
    <col min="12808" max="12808" width="3.5703125" style="129" customWidth="1"/>
    <col min="12809" max="12809" width="3.7109375" style="129" customWidth="1"/>
    <col min="12810" max="12810" width="3.140625" style="129" customWidth="1"/>
    <col min="12811" max="12811" width="3.28515625" style="129" customWidth="1"/>
    <col min="12812" max="12814" width="3.42578125" style="129" customWidth="1"/>
    <col min="12815" max="12815" width="3" style="129" customWidth="1"/>
    <col min="12816" max="12816" width="2.7109375" style="129" customWidth="1"/>
    <col min="12817" max="12817" width="2.85546875" style="129" customWidth="1"/>
    <col min="12818" max="12818" width="2.7109375" style="129" customWidth="1"/>
    <col min="12819" max="12819" width="3.85546875" style="129" customWidth="1"/>
    <col min="12820" max="12820" width="2.7109375" style="129" customWidth="1"/>
    <col min="12821" max="12821" width="3.7109375" style="129" customWidth="1"/>
    <col min="12822" max="12822" width="2.7109375" style="129" customWidth="1"/>
    <col min="12823" max="12823" width="3" style="129" customWidth="1"/>
    <col min="12824" max="12826" width="2.85546875" style="129" customWidth="1"/>
    <col min="12827" max="12827" width="3.28515625" style="129" customWidth="1"/>
    <col min="12828" max="12828" width="3.140625" style="129" customWidth="1"/>
    <col min="12829" max="12831" width="3.28515625" style="129" customWidth="1"/>
    <col min="12832" max="12832" width="3" style="129" customWidth="1"/>
    <col min="12833" max="12833" width="3.140625" style="129" customWidth="1"/>
    <col min="12834" max="12834" width="3.5703125" style="129" customWidth="1"/>
    <col min="12835" max="12836" width="2.85546875" style="129" customWidth="1"/>
    <col min="12837" max="12837" width="3.42578125" style="129" customWidth="1"/>
    <col min="12838" max="12838" width="2.7109375" style="129" customWidth="1"/>
    <col min="12839" max="12839" width="2.28515625" style="129" customWidth="1"/>
    <col min="12840" max="13057" width="11.42578125" style="129"/>
    <col min="13058" max="13058" width="1.42578125" style="129" customWidth="1"/>
    <col min="13059" max="13059" width="4.28515625" style="129" customWidth="1"/>
    <col min="13060" max="13060" width="2.85546875" style="129" customWidth="1"/>
    <col min="13061" max="13061" width="3.42578125" style="129" customWidth="1"/>
    <col min="13062" max="13062" width="3.140625" style="129" customWidth="1"/>
    <col min="13063" max="13063" width="3.42578125" style="129" customWidth="1"/>
    <col min="13064" max="13064" width="3.5703125" style="129" customWidth="1"/>
    <col min="13065" max="13065" width="3.7109375" style="129" customWidth="1"/>
    <col min="13066" max="13066" width="3.140625" style="129" customWidth="1"/>
    <col min="13067" max="13067" width="3.28515625" style="129" customWidth="1"/>
    <col min="13068" max="13070" width="3.42578125" style="129" customWidth="1"/>
    <col min="13071" max="13071" width="3" style="129" customWidth="1"/>
    <col min="13072" max="13072" width="2.7109375" style="129" customWidth="1"/>
    <col min="13073" max="13073" width="2.85546875" style="129" customWidth="1"/>
    <col min="13074" max="13074" width="2.7109375" style="129" customWidth="1"/>
    <col min="13075" max="13075" width="3.85546875" style="129" customWidth="1"/>
    <col min="13076" max="13076" width="2.7109375" style="129" customWidth="1"/>
    <col min="13077" max="13077" width="3.7109375" style="129" customWidth="1"/>
    <col min="13078" max="13078" width="2.7109375" style="129" customWidth="1"/>
    <col min="13079" max="13079" width="3" style="129" customWidth="1"/>
    <col min="13080" max="13082" width="2.85546875" style="129" customWidth="1"/>
    <col min="13083" max="13083" width="3.28515625" style="129" customWidth="1"/>
    <col min="13084" max="13084" width="3.140625" style="129" customWidth="1"/>
    <col min="13085" max="13087" width="3.28515625" style="129" customWidth="1"/>
    <col min="13088" max="13088" width="3" style="129" customWidth="1"/>
    <col min="13089" max="13089" width="3.140625" style="129" customWidth="1"/>
    <col min="13090" max="13090" width="3.5703125" style="129" customWidth="1"/>
    <col min="13091" max="13092" width="2.85546875" style="129" customWidth="1"/>
    <col min="13093" max="13093" width="3.42578125" style="129" customWidth="1"/>
    <col min="13094" max="13094" width="2.7109375" style="129" customWidth="1"/>
    <col min="13095" max="13095" width="2.28515625" style="129" customWidth="1"/>
    <col min="13096" max="13313" width="11.42578125" style="129"/>
    <col min="13314" max="13314" width="1.42578125" style="129" customWidth="1"/>
    <col min="13315" max="13315" width="4.28515625" style="129" customWidth="1"/>
    <col min="13316" max="13316" width="2.85546875" style="129" customWidth="1"/>
    <col min="13317" max="13317" width="3.42578125" style="129" customWidth="1"/>
    <col min="13318" max="13318" width="3.140625" style="129" customWidth="1"/>
    <col min="13319" max="13319" width="3.42578125" style="129" customWidth="1"/>
    <col min="13320" max="13320" width="3.5703125" style="129" customWidth="1"/>
    <col min="13321" max="13321" width="3.7109375" style="129" customWidth="1"/>
    <col min="13322" max="13322" width="3.140625" style="129" customWidth="1"/>
    <col min="13323" max="13323" width="3.28515625" style="129" customWidth="1"/>
    <col min="13324" max="13326" width="3.42578125" style="129" customWidth="1"/>
    <col min="13327" max="13327" width="3" style="129" customWidth="1"/>
    <col min="13328" max="13328" width="2.7109375" style="129" customWidth="1"/>
    <col min="13329" max="13329" width="2.85546875" style="129" customWidth="1"/>
    <col min="13330" max="13330" width="2.7109375" style="129" customWidth="1"/>
    <col min="13331" max="13331" width="3.85546875" style="129" customWidth="1"/>
    <col min="13332" max="13332" width="2.7109375" style="129" customWidth="1"/>
    <col min="13333" max="13333" width="3.7109375" style="129" customWidth="1"/>
    <col min="13334" max="13334" width="2.7109375" style="129" customWidth="1"/>
    <col min="13335" max="13335" width="3" style="129" customWidth="1"/>
    <col min="13336" max="13338" width="2.85546875" style="129" customWidth="1"/>
    <col min="13339" max="13339" width="3.28515625" style="129" customWidth="1"/>
    <col min="13340" max="13340" width="3.140625" style="129" customWidth="1"/>
    <col min="13341" max="13343" width="3.28515625" style="129" customWidth="1"/>
    <col min="13344" max="13344" width="3" style="129" customWidth="1"/>
    <col min="13345" max="13345" width="3.140625" style="129" customWidth="1"/>
    <col min="13346" max="13346" width="3.5703125" style="129" customWidth="1"/>
    <col min="13347" max="13348" width="2.85546875" style="129" customWidth="1"/>
    <col min="13349" max="13349" width="3.42578125" style="129" customWidth="1"/>
    <col min="13350" max="13350" width="2.7109375" style="129" customWidth="1"/>
    <col min="13351" max="13351" width="2.28515625" style="129" customWidth="1"/>
    <col min="13352" max="13569" width="11.42578125" style="129"/>
    <col min="13570" max="13570" width="1.42578125" style="129" customWidth="1"/>
    <col min="13571" max="13571" width="4.28515625" style="129" customWidth="1"/>
    <col min="13572" max="13572" width="2.85546875" style="129" customWidth="1"/>
    <col min="13573" max="13573" width="3.42578125" style="129" customWidth="1"/>
    <col min="13574" max="13574" width="3.140625" style="129" customWidth="1"/>
    <col min="13575" max="13575" width="3.42578125" style="129" customWidth="1"/>
    <col min="13576" max="13576" width="3.5703125" style="129" customWidth="1"/>
    <col min="13577" max="13577" width="3.7109375" style="129" customWidth="1"/>
    <col min="13578" max="13578" width="3.140625" style="129" customWidth="1"/>
    <col min="13579" max="13579" width="3.28515625" style="129" customWidth="1"/>
    <col min="13580" max="13582" width="3.42578125" style="129" customWidth="1"/>
    <col min="13583" max="13583" width="3" style="129" customWidth="1"/>
    <col min="13584" max="13584" width="2.7109375" style="129" customWidth="1"/>
    <col min="13585" max="13585" width="2.85546875" style="129" customWidth="1"/>
    <col min="13586" max="13586" width="2.7109375" style="129" customWidth="1"/>
    <col min="13587" max="13587" width="3.85546875" style="129" customWidth="1"/>
    <col min="13588" max="13588" width="2.7109375" style="129" customWidth="1"/>
    <col min="13589" max="13589" width="3.7109375" style="129" customWidth="1"/>
    <col min="13590" max="13590" width="2.7109375" style="129" customWidth="1"/>
    <col min="13591" max="13591" width="3" style="129" customWidth="1"/>
    <col min="13592" max="13594" width="2.85546875" style="129" customWidth="1"/>
    <col min="13595" max="13595" width="3.28515625" style="129" customWidth="1"/>
    <col min="13596" max="13596" width="3.140625" style="129" customWidth="1"/>
    <col min="13597" max="13599" width="3.28515625" style="129" customWidth="1"/>
    <col min="13600" max="13600" width="3" style="129" customWidth="1"/>
    <col min="13601" max="13601" width="3.140625" style="129" customWidth="1"/>
    <col min="13602" max="13602" width="3.5703125" style="129" customWidth="1"/>
    <col min="13603" max="13604" width="2.85546875" style="129" customWidth="1"/>
    <col min="13605" max="13605" width="3.42578125" style="129" customWidth="1"/>
    <col min="13606" max="13606" width="2.7109375" style="129" customWidth="1"/>
    <col min="13607" max="13607" width="2.28515625" style="129" customWidth="1"/>
    <col min="13608" max="13825" width="11.42578125" style="129"/>
    <col min="13826" max="13826" width="1.42578125" style="129" customWidth="1"/>
    <col min="13827" max="13827" width="4.28515625" style="129" customWidth="1"/>
    <col min="13828" max="13828" width="2.85546875" style="129" customWidth="1"/>
    <col min="13829" max="13829" width="3.42578125" style="129" customWidth="1"/>
    <col min="13830" max="13830" width="3.140625" style="129" customWidth="1"/>
    <col min="13831" max="13831" width="3.42578125" style="129" customWidth="1"/>
    <col min="13832" max="13832" width="3.5703125" style="129" customWidth="1"/>
    <col min="13833" max="13833" width="3.7109375" style="129" customWidth="1"/>
    <col min="13834" max="13834" width="3.140625" style="129" customWidth="1"/>
    <col min="13835" max="13835" width="3.28515625" style="129" customWidth="1"/>
    <col min="13836" max="13838" width="3.42578125" style="129" customWidth="1"/>
    <col min="13839" max="13839" width="3" style="129" customWidth="1"/>
    <col min="13840" max="13840" width="2.7109375" style="129" customWidth="1"/>
    <col min="13841" max="13841" width="2.85546875" style="129" customWidth="1"/>
    <col min="13842" max="13842" width="2.7109375" style="129" customWidth="1"/>
    <col min="13843" max="13843" width="3.85546875" style="129" customWidth="1"/>
    <col min="13844" max="13844" width="2.7109375" style="129" customWidth="1"/>
    <col min="13845" max="13845" width="3.7109375" style="129" customWidth="1"/>
    <col min="13846" max="13846" width="2.7109375" style="129" customWidth="1"/>
    <col min="13847" max="13847" width="3" style="129" customWidth="1"/>
    <col min="13848" max="13850" width="2.85546875" style="129" customWidth="1"/>
    <col min="13851" max="13851" width="3.28515625" style="129" customWidth="1"/>
    <col min="13852" max="13852" width="3.140625" style="129" customWidth="1"/>
    <col min="13853" max="13855" width="3.28515625" style="129" customWidth="1"/>
    <col min="13856" max="13856" width="3" style="129" customWidth="1"/>
    <col min="13857" max="13857" width="3.140625" style="129" customWidth="1"/>
    <col min="13858" max="13858" width="3.5703125" style="129" customWidth="1"/>
    <col min="13859" max="13860" width="2.85546875" style="129" customWidth="1"/>
    <col min="13861" max="13861" width="3.42578125" style="129" customWidth="1"/>
    <col min="13862" max="13862" width="2.7109375" style="129" customWidth="1"/>
    <col min="13863" max="13863" width="2.28515625" style="129" customWidth="1"/>
    <col min="13864" max="14081" width="11.42578125" style="129"/>
    <col min="14082" max="14082" width="1.42578125" style="129" customWidth="1"/>
    <col min="14083" max="14083" width="4.28515625" style="129" customWidth="1"/>
    <col min="14084" max="14084" width="2.85546875" style="129" customWidth="1"/>
    <col min="14085" max="14085" width="3.42578125" style="129" customWidth="1"/>
    <col min="14086" max="14086" width="3.140625" style="129" customWidth="1"/>
    <col min="14087" max="14087" width="3.42578125" style="129" customWidth="1"/>
    <col min="14088" max="14088" width="3.5703125" style="129" customWidth="1"/>
    <col min="14089" max="14089" width="3.7109375" style="129" customWidth="1"/>
    <col min="14090" max="14090" width="3.140625" style="129" customWidth="1"/>
    <col min="14091" max="14091" width="3.28515625" style="129" customWidth="1"/>
    <col min="14092" max="14094" width="3.42578125" style="129" customWidth="1"/>
    <col min="14095" max="14095" width="3" style="129" customWidth="1"/>
    <col min="14096" max="14096" width="2.7109375" style="129" customWidth="1"/>
    <col min="14097" max="14097" width="2.85546875" style="129" customWidth="1"/>
    <col min="14098" max="14098" width="2.7109375" style="129" customWidth="1"/>
    <col min="14099" max="14099" width="3.85546875" style="129" customWidth="1"/>
    <col min="14100" max="14100" width="2.7109375" style="129" customWidth="1"/>
    <col min="14101" max="14101" width="3.7109375" style="129" customWidth="1"/>
    <col min="14102" max="14102" width="2.7109375" style="129" customWidth="1"/>
    <col min="14103" max="14103" width="3" style="129" customWidth="1"/>
    <col min="14104" max="14106" width="2.85546875" style="129" customWidth="1"/>
    <col min="14107" max="14107" width="3.28515625" style="129" customWidth="1"/>
    <col min="14108" max="14108" width="3.140625" style="129" customWidth="1"/>
    <col min="14109" max="14111" width="3.28515625" style="129" customWidth="1"/>
    <col min="14112" max="14112" width="3" style="129" customWidth="1"/>
    <col min="14113" max="14113" width="3.140625" style="129" customWidth="1"/>
    <col min="14114" max="14114" width="3.5703125" style="129" customWidth="1"/>
    <col min="14115" max="14116" width="2.85546875" style="129" customWidth="1"/>
    <col min="14117" max="14117" width="3.42578125" style="129" customWidth="1"/>
    <col min="14118" max="14118" width="2.7109375" style="129" customWidth="1"/>
    <col min="14119" max="14119" width="2.28515625" style="129" customWidth="1"/>
    <col min="14120" max="14337" width="11.42578125" style="129"/>
    <col min="14338" max="14338" width="1.42578125" style="129" customWidth="1"/>
    <col min="14339" max="14339" width="4.28515625" style="129" customWidth="1"/>
    <col min="14340" max="14340" width="2.85546875" style="129" customWidth="1"/>
    <col min="14341" max="14341" width="3.42578125" style="129" customWidth="1"/>
    <col min="14342" max="14342" width="3.140625" style="129" customWidth="1"/>
    <col min="14343" max="14343" width="3.42578125" style="129" customWidth="1"/>
    <col min="14344" max="14344" width="3.5703125" style="129" customWidth="1"/>
    <col min="14345" max="14345" width="3.7109375" style="129" customWidth="1"/>
    <col min="14346" max="14346" width="3.140625" style="129" customWidth="1"/>
    <col min="14347" max="14347" width="3.28515625" style="129" customWidth="1"/>
    <col min="14348" max="14350" width="3.42578125" style="129" customWidth="1"/>
    <col min="14351" max="14351" width="3" style="129" customWidth="1"/>
    <col min="14352" max="14352" width="2.7109375" style="129" customWidth="1"/>
    <col min="14353" max="14353" width="2.85546875" style="129" customWidth="1"/>
    <col min="14354" max="14354" width="2.7109375" style="129" customWidth="1"/>
    <col min="14355" max="14355" width="3.85546875" style="129" customWidth="1"/>
    <col min="14356" max="14356" width="2.7109375" style="129" customWidth="1"/>
    <col min="14357" max="14357" width="3.7109375" style="129" customWidth="1"/>
    <col min="14358" max="14358" width="2.7109375" style="129" customWidth="1"/>
    <col min="14359" max="14359" width="3" style="129" customWidth="1"/>
    <col min="14360" max="14362" width="2.85546875" style="129" customWidth="1"/>
    <col min="14363" max="14363" width="3.28515625" style="129" customWidth="1"/>
    <col min="14364" max="14364" width="3.140625" style="129" customWidth="1"/>
    <col min="14365" max="14367" width="3.28515625" style="129" customWidth="1"/>
    <col min="14368" max="14368" width="3" style="129" customWidth="1"/>
    <col min="14369" max="14369" width="3.140625" style="129" customWidth="1"/>
    <col min="14370" max="14370" width="3.5703125" style="129" customWidth="1"/>
    <col min="14371" max="14372" width="2.85546875" style="129" customWidth="1"/>
    <col min="14373" max="14373" width="3.42578125" style="129" customWidth="1"/>
    <col min="14374" max="14374" width="2.7109375" style="129" customWidth="1"/>
    <col min="14375" max="14375" width="2.28515625" style="129" customWidth="1"/>
    <col min="14376" max="14593" width="11.42578125" style="129"/>
    <col min="14594" max="14594" width="1.42578125" style="129" customWidth="1"/>
    <col min="14595" max="14595" width="4.28515625" style="129" customWidth="1"/>
    <col min="14596" max="14596" width="2.85546875" style="129" customWidth="1"/>
    <col min="14597" max="14597" width="3.42578125" style="129" customWidth="1"/>
    <col min="14598" max="14598" width="3.140625" style="129" customWidth="1"/>
    <col min="14599" max="14599" width="3.42578125" style="129" customWidth="1"/>
    <col min="14600" max="14600" width="3.5703125" style="129" customWidth="1"/>
    <col min="14601" max="14601" width="3.7109375" style="129" customWidth="1"/>
    <col min="14602" max="14602" width="3.140625" style="129" customWidth="1"/>
    <col min="14603" max="14603" width="3.28515625" style="129" customWidth="1"/>
    <col min="14604" max="14606" width="3.42578125" style="129" customWidth="1"/>
    <col min="14607" max="14607" width="3" style="129" customWidth="1"/>
    <col min="14608" max="14608" width="2.7109375" style="129" customWidth="1"/>
    <col min="14609" max="14609" width="2.85546875" style="129" customWidth="1"/>
    <col min="14610" max="14610" width="2.7109375" style="129" customWidth="1"/>
    <col min="14611" max="14611" width="3.85546875" style="129" customWidth="1"/>
    <col min="14612" max="14612" width="2.7109375" style="129" customWidth="1"/>
    <col min="14613" max="14613" width="3.7109375" style="129" customWidth="1"/>
    <col min="14614" max="14614" width="2.7109375" style="129" customWidth="1"/>
    <col min="14615" max="14615" width="3" style="129" customWidth="1"/>
    <col min="14616" max="14618" width="2.85546875" style="129" customWidth="1"/>
    <col min="14619" max="14619" width="3.28515625" style="129" customWidth="1"/>
    <col min="14620" max="14620" width="3.140625" style="129" customWidth="1"/>
    <col min="14621" max="14623" width="3.28515625" style="129" customWidth="1"/>
    <col min="14624" max="14624" width="3" style="129" customWidth="1"/>
    <col min="14625" max="14625" width="3.140625" style="129" customWidth="1"/>
    <col min="14626" max="14626" width="3.5703125" style="129" customWidth="1"/>
    <col min="14627" max="14628" width="2.85546875" style="129" customWidth="1"/>
    <col min="14629" max="14629" width="3.42578125" style="129" customWidth="1"/>
    <col min="14630" max="14630" width="2.7109375" style="129" customWidth="1"/>
    <col min="14631" max="14631" width="2.28515625" style="129" customWidth="1"/>
    <col min="14632" max="14849" width="11.42578125" style="129"/>
    <col min="14850" max="14850" width="1.42578125" style="129" customWidth="1"/>
    <col min="14851" max="14851" width="4.28515625" style="129" customWidth="1"/>
    <col min="14852" max="14852" width="2.85546875" style="129" customWidth="1"/>
    <col min="14853" max="14853" width="3.42578125" style="129" customWidth="1"/>
    <col min="14854" max="14854" width="3.140625" style="129" customWidth="1"/>
    <col min="14855" max="14855" width="3.42578125" style="129" customWidth="1"/>
    <col min="14856" max="14856" width="3.5703125" style="129" customWidth="1"/>
    <col min="14857" max="14857" width="3.7109375" style="129" customWidth="1"/>
    <col min="14858" max="14858" width="3.140625" style="129" customWidth="1"/>
    <col min="14859" max="14859" width="3.28515625" style="129" customWidth="1"/>
    <col min="14860" max="14862" width="3.42578125" style="129" customWidth="1"/>
    <col min="14863" max="14863" width="3" style="129" customWidth="1"/>
    <col min="14864" max="14864" width="2.7109375" style="129" customWidth="1"/>
    <col min="14865" max="14865" width="2.85546875" style="129" customWidth="1"/>
    <col min="14866" max="14866" width="2.7109375" style="129" customWidth="1"/>
    <col min="14867" max="14867" width="3.85546875" style="129" customWidth="1"/>
    <col min="14868" max="14868" width="2.7109375" style="129" customWidth="1"/>
    <col min="14869" max="14869" width="3.7109375" style="129" customWidth="1"/>
    <col min="14870" max="14870" width="2.7109375" style="129" customWidth="1"/>
    <col min="14871" max="14871" width="3" style="129" customWidth="1"/>
    <col min="14872" max="14874" width="2.85546875" style="129" customWidth="1"/>
    <col min="14875" max="14875" width="3.28515625" style="129" customWidth="1"/>
    <col min="14876" max="14876" width="3.140625" style="129" customWidth="1"/>
    <col min="14877" max="14879" width="3.28515625" style="129" customWidth="1"/>
    <col min="14880" max="14880" width="3" style="129" customWidth="1"/>
    <col min="14881" max="14881" width="3.140625" style="129" customWidth="1"/>
    <col min="14882" max="14882" width="3.5703125" style="129" customWidth="1"/>
    <col min="14883" max="14884" width="2.85546875" style="129" customWidth="1"/>
    <col min="14885" max="14885" width="3.42578125" style="129" customWidth="1"/>
    <col min="14886" max="14886" width="2.7109375" style="129" customWidth="1"/>
    <col min="14887" max="14887" width="2.28515625" style="129" customWidth="1"/>
    <col min="14888" max="15105" width="11.42578125" style="129"/>
    <col min="15106" max="15106" width="1.42578125" style="129" customWidth="1"/>
    <col min="15107" max="15107" width="4.28515625" style="129" customWidth="1"/>
    <col min="15108" max="15108" width="2.85546875" style="129" customWidth="1"/>
    <col min="15109" max="15109" width="3.42578125" style="129" customWidth="1"/>
    <col min="15110" max="15110" width="3.140625" style="129" customWidth="1"/>
    <col min="15111" max="15111" width="3.42578125" style="129" customWidth="1"/>
    <col min="15112" max="15112" width="3.5703125" style="129" customWidth="1"/>
    <col min="15113" max="15113" width="3.7109375" style="129" customWidth="1"/>
    <col min="15114" max="15114" width="3.140625" style="129" customWidth="1"/>
    <col min="15115" max="15115" width="3.28515625" style="129" customWidth="1"/>
    <col min="15116" max="15118" width="3.42578125" style="129" customWidth="1"/>
    <col min="15119" max="15119" width="3" style="129" customWidth="1"/>
    <col min="15120" max="15120" width="2.7109375" style="129" customWidth="1"/>
    <col min="15121" max="15121" width="2.85546875" style="129" customWidth="1"/>
    <col min="15122" max="15122" width="2.7109375" style="129" customWidth="1"/>
    <col min="15123" max="15123" width="3.85546875" style="129" customWidth="1"/>
    <col min="15124" max="15124" width="2.7109375" style="129" customWidth="1"/>
    <col min="15125" max="15125" width="3.7109375" style="129" customWidth="1"/>
    <col min="15126" max="15126" width="2.7109375" style="129" customWidth="1"/>
    <col min="15127" max="15127" width="3" style="129" customWidth="1"/>
    <col min="15128" max="15130" width="2.85546875" style="129" customWidth="1"/>
    <col min="15131" max="15131" width="3.28515625" style="129" customWidth="1"/>
    <col min="15132" max="15132" width="3.140625" style="129" customWidth="1"/>
    <col min="15133" max="15135" width="3.28515625" style="129" customWidth="1"/>
    <col min="15136" max="15136" width="3" style="129" customWidth="1"/>
    <col min="15137" max="15137" width="3.140625" style="129" customWidth="1"/>
    <col min="15138" max="15138" width="3.5703125" style="129" customWidth="1"/>
    <col min="15139" max="15140" width="2.85546875" style="129" customWidth="1"/>
    <col min="15141" max="15141" width="3.42578125" style="129" customWidth="1"/>
    <col min="15142" max="15142" width="2.7109375" style="129" customWidth="1"/>
    <col min="15143" max="15143" width="2.28515625" style="129" customWidth="1"/>
    <col min="15144" max="15361" width="11.42578125" style="129"/>
    <col min="15362" max="15362" width="1.42578125" style="129" customWidth="1"/>
    <col min="15363" max="15363" width="4.28515625" style="129" customWidth="1"/>
    <col min="15364" max="15364" width="2.85546875" style="129" customWidth="1"/>
    <col min="15365" max="15365" width="3.42578125" style="129" customWidth="1"/>
    <col min="15366" max="15366" width="3.140625" style="129" customWidth="1"/>
    <col min="15367" max="15367" width="3.42578125" style="129" customWidth="1"/>
    <col min="15368" max="15368" width="3.5703125" style="129" customWidth="1"/>
    <col min="15369" max="15369" width="3.7109375" style="129" customWidth="1"/>
    <col min="15370" max="15370" width="3.140625" style="129" customWidth="1"/>
    <col min="15371" max="15371" width="3.28515625" style="129" customWidth="1"/>
    <col min="15372" max="15374" width="3.42578125" style="129" customWidth="1"/>
    <col min="15375" max="15375" width="3" style="129" customWidth="1"/>
    <col min="15376" max="15376" width="2.7109375" style="129" customWidth="1"/>
    <col min="15377" max="15377" width="2.85546875" style="129" customWidth="1"/>
    <col min="15378" max="15378" width="2.7109375" style="129" customWidth="1"/>
    <col min="15379" max="15379" width="3.85546875" style="129" customWidth="1"/>
    <col min="15380" max="15380" width="2.7109375" style="129" customWidth="1"/>
    <col min="15381" max="15381" width="3.7109375" style="129" customWidth="1"/>
    <col min="15382" max="15382" width="2.7109375" style="129" customWidth="1"/>
    <col min="15383" max="15383" width="3" style="129" customWidth="1"/>
    <col min="15384" max="15386" width="2.85546875" style="129" customWidth="1"/>
    <col min="15387" max="15387" width="3.28515625" style="129" customWidth="1"/>
    <col min="15388" max="15388" width="3.140625" style="129" customWidth="1"/>
    <col min="15389" max="15391" width="3.28515625" style="129" customWidth="1"/>
    <col min="15392" max="15392" width="3" style="129" customWidth="1"/>
    <col min="15393" max="15393" width="3.140625" style="129" customWidth="1"/>
    <col min="15394" max="15394" width="3.5703125" style="129" customWidth="1"/>
    <col min="15395" max="15396" width="2.85546875" style="129" customWidth="1"/>
    <col min="15397" max="15397" width="3.42578125" style="129" customWidth="1"/>
    <col min="15398" max="15398" width="2.7109375" style="129" customWidth="1"/>
    <col min="15399" max="15399" width="2.28515625" style="129" customWidth="1"/>
    <col min="15400" max="15617" width="11.42578125" style="129"/>
    <col min="15618" max="15618" width="1.42578125" style="129" customWidth="1"/>
    <col min="15619" max="15619" width="4.28515625" style="129" customWidth="1"/>
    <col min="15620" max="15620" width="2.85546875" style="129" customWidth="1"/>
    <col min="15621" max="15621" width="3.42578125" style="129" customWidth="1"/>
    <col min="15622" max="15622" width="3.140625" style="129" customWidth="1"/>
    <col min="15623" max="15623" width="3.42578125" style="129" customWidth="1"/>
    <col min="15624" max="15624" width="3.5703125" style="129" customWidth="1"/>
    <col min="15625" max="15625" width="3.7109375" style="129" customWidth="1"/>
    <col min="15626" max="15626" width="3.140625" style="129" customWidth="1"/>
    <col min="15627" max="15627" width="3.28515625" style="129" customWidth="1"/>
    <col min="15628" max="15630" width="3.42578125" style="129" customWidth="1"/>
    <col min="15631" max="15631" width="3" style="129" customWidth="1"/>
    <col min="15632" max="15632" width="2.7109375" style="129" customWidth="1"/>
    <col min="15633" max="15633" width="2.85546875" style="129" customWidth="1"/>
    <col min="15634" max="15634" width="2.7109375" style="129" customWidth="1"/>
    <col min="15635" max="15635" width="3.85546875" style="129" customWidth="1"/>
    <col min="15636" max="15636" width="2.7109375" style="129" customWidth="1"/>
    <col min="15637" max="15637" width="3.7109375" style="129" customWidth="1"/>
    <col min="15638" max="15638" width="2.7109375" style="129" customWidth="1"/>
    <col min="15639" max="15639" width="3" style="129" customWidth="1"/>
    <col min="15640" max="15642" width="2.85546875" style="129" customWidth="1"/>
    <col min="15643" max="15643" width="3.28515625" style="129" customWidth="1"/>
    <col min="15644" max="15644" width="3.140625" style="129" customWidth="1"/>
    <col min="15645" max="15647" width="3.28515625" style="129" customWidth="1"/>
    <col min="15648" max="15648" width="3" style="129" customWidth="1"/>
    <col min="15649" max="15649" width="3.140625" style="129" customWidth="1"/>
    <col min="15650" max="15650" width="3.5703125" style="129" customWidth="1"/>
    <col min="15651" max="15652" width="2.85546875" style="129" customWidth="1"/>
    <col min="15653" max="15653" width="3.42578125" style="129" customWidth="1"/>
    <col min="15654" max="15654" width="2.7109375" style="129" customWidth="1"/>
    <col min="15655" max="15655" width="2.28515625" style="129" customWidth="1"/>
    <col min="15656" max="15873" width="11.42578125" style="129"/>
    <col min="15874" max="15874" width="1.42578125" style="129" customWidth="1"/>
    <col min="15875" max="15875" width="4.28515625" style="129" customWidth="1"/>
    <col min="15876" max="15876" width="2.85546875" style="129" customWidth="1"/>
    <col min="15877" max="15877" width="3.42578125" style="129" customWidth="1"/>
    <col min="15878" max="15878" width="3.140625" style="129" customWidth="1"/>
    <col min="15879" max="15879" width="3.42578125" style="129" customWidth="1"/>
    <col min="15880" max="15880" width="3.5703125" style="129" customWidth="1"/>
    <col min="15881" max="15881" width="3.7109375" style="129" customWidth="1"/>
    <col min="15882" max="15882" width="3.140625" style="129" customWidth="1"/>
    <col min="15883" max="15883" width="3.28515625" style="129" customWidth="1"/>
    <col min="15884" max="15886" width="3.42578125" style="129" customWidth="1"/>
    <col min="15887" max="15887" width="3" style="129" customWidth="1"/>
    <col min="15888" max="15888" width="2.7109375" style="129" customWidth="1"/>
    <col min="15889" max="15889" width="2.85546875" style="129" customWidth="1"/>
    <col min="15890" max="15890" width="2.7109375" style="129" customWidth="1"/>
    <col min="15891" max="15891" width="3.85546875" style="129" customWidth="1"/>
    <col min="15892" max="15892" width="2.7109375" style="129" customWidth="1"/>
    <col min="15893" max="15893" width="3.7109375" style="129" customWidth="1"/>
    <col min="15894" max="15894" width="2.7109375" style="129" customWidth="1"/>
    <col min="15895" max="15895" width="3" style="129" customWidth="1"/>
    <col min="15896" max="15898" width="2.85546875" style="129" customWidth="1"/>
    <col min="15899" max="15899" width="3.28515625" style="129" customWidth="1"/>
    <col min="15900" max="15900" width="3.140625" style="129" customWidth="1"/>
    <col min="15901" max="15903" width="3.28515625" style="129" customWidth="1"/>
    <col min="15904" max="15904" width="3" style="129" customWidth="1"/>
    <col min="15905" max="15905" width="3.140625" style="129" customWidth="1"/>
    <col min="15906" max="15906" width="3.5703125" style="129" customWidth="1"/>
    <col min="15907" max="15908" width="2.85546875" style="129" customWidth="1"/>
    <col min="15909" max="15909" width="3.42578125" style="129" customWidth="1"/>
    <col min="15910" max="15910" width="2.7109375" style="129" customWidth="1"/>
    <col min="15911" max="15911" width="2.28515625" style="129" customWidth="1"/>
    <col min="15912" max="16129" width="11.42578125" style="129"/>
    <col min="16130" max="16130" width="1.42578125" style="129" customWidth="1"/>
    <col min="16131" max="16131" width="4.28515625" style="129" customWidth="1"/>
    <col min="16132" max="16132" width="2.85546875" style="129" customWidth="1"/>
    <col min="16133" max="16133" width="3.42578125" style="129" customWidth="1"/>
    <col min="16134" max="16134" width="3.140625" style="129" customWidth="1"/>
    <col min="16135" max="16135" width="3.42578125" style="129" customWidth="1"/>
    <col min="16136" max="16136" width="3.5703125" style="129" customWidth="1"/>
    <col min="16137" max="16137" width="3.7109375" style="129" customWidth="1"/>
    <col min="16138" max="16138" width="3.140625" style="129" customWidth="1"/>
    <col min="16139" max="16139" width="3.28515625" style="129" customWidth="1"/>
    <col min="16140" max="16142" width="3.42578125" style="129" customWidth="1"/>
    <col min="16143" max="16143" width="3" style="129" customWidth="1"/>
    <col min="16144" max="16144" width="2.7109375" style="129" customWidth="1"/>
    <col min="16145" max="16145" width="2.85546875" style="129" customWidth="1"/>
    <col min="16146" max="16146" width="2.7109375" style="129" customWidth="1"/>
    <col min="16147" max="16147" width="3.85546875" style="129" customWidth="1"/>
    <col min="16148" max="16148" width="2.7109375" style="129" customWidth="1"/>
    <col min="16149" max="16149" width="3.7109375" style="129" customWidth="1"/>
    <col min="16150" max="16150" width="2.7109375" style="129" customWidth="1"/>
    <col min="16151" max="16151" width="3" style="129" customWidth="1"/>
    <col min="16152" max="16154" width="2.85546875" style="129" customWidth="1"/>
    <col min="16155" max="16155" width="3.28515625" style="129" customWidth="1"/>
    <col min="16156" max="16156" width="3.140625" style="129" customWidth="1"/>
    <col min="16157" max="16159" width="3.28515625" style="129" customWidth="1"/>
    <col min="16160" max="16160" width="3" style="129" customWidth="1"/>
    <col min="16161" max="16161" width="3.140625" style="129" customWidth="1"/>
    <col min="16162" max="16162" width="3.5703125" style="129" customWidth="1"/>
    <col min="16163" max="16164" width="2.85546875" style="129" customWidth="1"/>
    <col min="16165" max="16165" width="3.42578125" style="129" customWidth="1"/>
    <col min="16166" max="16166" width="2.7109375" style="129" customWidth="1"/>
    <col min="16167" max="16167" width="2.28515625" style="129" customWidth="1"/>
    <col min="16168" max="16384" width="11.42578125" style="129"/>
  </cols>
  <sheetData>
    <row r="1" spans="2:51" x14ac:dyDescent="0.2">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W1" s="130"/>
      <c r="AX1" s="130"/>
      <c r="AY1" s="130"/>
    </row>
    <row r="2" spans="2:51" ht="12.75" customHeight="1" x14ac:dyDescent="0.2">
      <c r="B2" s="808" t="s">
        <v>203</v>
      </c>
      <c r="C2" s="809"/>
      <c r="D2" s="809"/>
      <c r="E2" s="809"/>
      <c r="F2" s="809"/>
      <c r="G2" s="810"/>
      <c r="H2" s="817" t="s">
        <v>202</v>
      </c>
      <c r="I2" s="818"/>
      <c r="J2" s="818"/>
      <c r="K2" s="818"/>
      <c r="L2" s="818"/>
      <c r="M2" s="818"/>
      <c r="N2" s="818"/>
      <c r="O2" s="818"/>
      <c r="P2" s="818"/>
      <c r="Q2" s="818"/>
      <c r="R2" s="818"/>
      <c r="S2" s="818"/>
      <c r="T2" s="818"/>
      <c r="U2" s="818"/>
      <c r="V2" s="818"/>
      <c r="W2" s="818"/>
      <c r="X2" s="818"/>
      <c r="Y2" s="819"/>
      <c r="Z2" s="826" t="s">
        <v>17</v>
      </c>
      <c r="AA2" s="826"/>
      <c r="AB2" s="827"/>
      <c r="AC2" s="827"/>
      <c r="AD2" s="827"/>
      <c r="AE2" s="827"/>
      <c r="AF2" s="827"/>
      <c r="AG2" s="828"/>
      <c r="AH2" s="835" t="s">
        <v>0</v>
      </c>
      <c r="AI2" s="836"/>
      <c r="AJ2" s="836"/>
      <c r="AK2" s="836"/>
      <c r="AL2" s="836"/>
      <c r="AM2" s="837"/>
      <c r="AW2" s="130"/>
      <c r="AX2" s="130"/>
      <c r="AY2" s="130"/>
    </row>
    <row r="3" spans="2:51" ht="12.75" customHeight="1" x14ac:dyDescent="0.2">
      <c r="B3" s="811"/>
      <c r="C3" s="812"/>
      <c r="D3" s="812"/>
      <c r="E3" s="812"/>
      <c r="F3" s="812"/>
      <c r="G3" s="813"/>
      <c r="H3" s="820"/>
      <c r="I3" s="821"/>
      <c r="J3" s="821"/>
      <c r="K3" s="821"/>
      <c r="L3" s="821"/>
      <c r="M3" s="821"/>
      <c r="N3" s="821"/>
      <c r="O3" s="821"/>
      <c r="P3" s="821"/>
      <c r="Q3" s="821"/>
      <c r="R3" s="821"/>
      <c r="S3" s="821"/>
      <c r="T3" s="821"/>
      <c r="U3" s="821"/>
      <c r="V3" s="821"/>
      <c r="W3" s="821"/>
      <c r="X3" s="821"/>
      <c r="Y3" s="822"/>
      <c r="Z3" s="829"/>
      <c r="AA3" s="829"/>
      <c r="AB3" s="830"/>
      <c r="AC3" s="830"/>
      <c r="AD3" s="830"/>
      <c r="AE3" s="830"/>
      <c r="AF3" s="830"/>
      <c r="AG3" s="831"/>
      <c r="AH3" s="838"/>
      <c r="AI3" s="839"/>
      <c r="AJ3" s="839"/>
      <c r="AK3" s="839"/>
      <c r="AL3" s="839"/>
      <c r="AM3" s="840"/>
    </row>
    <row r="4" spans="2:51" ht="12.75" customHeight="1" x14ac:dyDescent="0.2">
      <c r="B4" s="814"/>
      <c r="C4" s="815"/>
      <c r="D4" s="815"/>
      <c r="E4" s="815"/>
      <c r="F4" s="815"/>
      <c r="G4" s="816"/>
      <c r="H4" s="823"/>
      <c r="I4" s="824"/>
      <c r="J4" s="824"/>
      <c r="K4" s="824"/>
      <c r="L4" s="824"/>
      <c r="M4" s="824"/>
      <c r="N4" s="824"/>
      <c r="O4" s="824"/>
      <c r="P4" s="824"/>
      <c r="Q4" s="824"/>
      <c r="R4" s="824"/>
      <c r="S4" s="824"/>
      <c r="T4" s="824"/>
      <c r="U4" s="824"/>
      <c r="V4" s="824"/>
      <c r="W4" s="824"/>
      <c r="X4" s="824"/>
      <c r="Y4" s="825"/>
      <c r="Z4" s="832"/>
      <c r="AA4" s="832"/>
      <c r="AB4" s="833"/>
      <c r="AC4" s="833"/>
      <c r="AD4" s="833"/>
      <c r="AE4" s="833"/>
      <c r="AF4" s="833"/>
      <c r="AG4" s="834"/>
      <c r="AH4" s="841"/>
      <c r="AI4" s="842"/>
      <c r="AJ4" s="842"/>
      <c r="AK4" s="842"/>
      <c r="AL4" s="842"/>
      <c r="AM4" s="843"/>
    </row>
    <row r="5" spans="2:51" x14ac:dyDescent="0.2">
      <c r="B5" s="844" t="s">
        <v>1</v>
      </c>
      <c r="C5" s="845"/>
      <c r="D5" s="846">
        <v>2019</v>
      </c>
      <c r="E5" s="847"/>
      <c r="F5" s="847"/>
      <c r="G5" s="848"/>
      <c r="H5" s="127" t="s">
        <v>201</v>
      </c>
      <c r="I5" s="125"/>
      <c r="J5" s="125"/>
      <c r="K5" s="125"/>
      <c r="L5" s="125"/>
      <c r="M5" s="125"/>
      <c r="N5" s="125"/>
      <c r="O5" s="126"/>
      <c r="P5" s="125"/>
      <c r="Q5" s="125"/>
      <c r="R5" s="125"/>
      <c r="S5" s="849" t="s">
        <v>20</v>
      </c>
      <c r="T5" s="849"/>
      <c r="U5" s="849"/>
      <c r="V5" s="849"/>
      <c r="W5" s="849"/>
      <c r="X5" s="849"/>
      <c r="Y5" s="849"/>
      <c r="Z5" s="849"/>
      <c r="AA5" s="849"/>
      <c r="AB5" s="849"/>
      <c r="AC5" s="849"/>
      <c r="AD5" s="849"/>
      <c r="AE5" s="849"/>
      <c r="AF5" s="849"/>
      <c r="AG5" s="849"/>
      <c r="AH5" s="849"/>
      <c r="AI5" s="849"/>
      <c r="AJ5" s="849"/>
      <c r="AK5" s="849"/>
      <c r="AL5" s="849"/>
      <c r="AM5" s="850"/>
      <c r="AO5" s="70"/>
      <c r="AP5" s="70"/>
    </row>
    <row r="6" spans="2:51" x14ac:dyDescent="0.2">
      <c r="B6" s="855"/>
      <c r="C6" s="856"/>
      <c r="D6" s="856"/>
      <c r="E6" s="856"/>
      <c r="F6" s="856"/>
      <c r="G6" s="856"/>
      <c r="H6" s="856"/>
      <c r="I6" s="856"/>
      <c r="J6" s="856"/>
      <c r="K6" s="856"/>
      <c r="L6" s="856"/>
      <c r="M6" s="856"/>
      <c r="N6" s="856"/>
      <c r="O6" s="856"/>
      <c r="P6" s="856"/>
      <c r="Q6" s="857"/>
      <c r="R6" s="858"/>
      <c r="S6" s="851"/>
      <c r="T6" s="851"/>
      <c r="U6" s="851"/>
      <c r="V6" s="851"/>
      <c r="W6" s="851"/>
      <c r="X6" s="851"/>
      <c r="Y6" s="851"/>
      <c r="Z6" s="851"/>
      <c r="AA6" s="851"/>
      <c r="AB6" s="851"/>
      <c r="AC6" s="851"/>
      <c r="AD6" s="851"/>
      <c r="AE6" s="851"/>
      <c r="AF6" s="851"/>
      <c r="AG6" s="851"/>
      <c r="AH6" s="851"/>
      <c r="AI6" s="851"/>
      <c r="AJ6" s="851"/>
      <c r="AK6" s="851"/>
      <c r="AL6" s="851"/>
      <c r="AM6" s="852"/>
      <c r="AO6" s="70"/>
      <c r="AP6" s="70"/>
    </row>
    <row r="7" spans="2:51" x14ac:dyDescent="0.2">
      <c r="B7" s="855"/>
      <c r="C7" s="856"/>
      <c r="D7" s="856"/>
      <c r="E7" s="856"/>
      <c r="F7" s="856"/>
      <c r="G7" s="856"/>
      <c r="H7" s="856"/>
      <c r="I7" s="856"/>
      <c r="J7" s="856"/>
      <c r="K7" s="856"/>
      <c r="L7" s="856"/>
      <c r="M7" s="856"/>
      <c r="N7" s="856"/>
      <c r="O7" s="856"/>
      <c r="P7" s="856"/>
      <c r="Q7" s="857"/>
      <c r="R7" s="858"/>
      <c r="S7" s="851"/>
      <c r="T7" s="851"/>
      <c r="U7" s="851"/>
      <c r="V7" s="851"/>
      <c r="W7" s="851"/>
      <c r="X7" s="851"/>
      <c r="Y7" s="851"/>
      <c r="Z7" s="851"/>
      <c r="AA7" s="851"/>
      <c r="AB7" s="851"/>
      <c r="AC7" s="851"/>
      <c r="AD7" s="851"/>
      <c r="AE7" s="851"/>
      <c r="AF7" s="851"/>
      <c r="AG7" s="851"/>
      <c r="AH7" s="851"/>
      <c r="AI7" s="851"/>
      <c r="AJ7" s="851"/>
      <c r="AK7" s="851"/>
      <c r="AL7" s="851"/>
      <c r="AM7" s="852"/>
      <c r="AO7" s="70"/>
      <c r="AP7" s="70"/>
    </row>
    <row r="8" spans="2:51" ht="25.5" customHeight="1" x14ac:dyDescent="0.2">
      <c r="B8" s="859"/>
      <c r="C8" s="860"/>
      <c r="D8" s="860"/>
      <c r="E8" s="860"/>
      <c r="F8" s="860"/>
      <c r="G8" s="860"/>
      <c r="H8" s="860"/>
      <c r="I8" s="860"/>
      <c r="J8" s="860"/>
      <c r="K8" s="860"/>
      <c r="L8" s="860"/>
      <c r="M8" s="860"/>
      <c r="N8" s="860"/>
      <c r="O8" s="860"/>
      <c r="P8" s="860"/>
      <c r="Q8" s="861"/>
      <c r="R8" s="862"/>
      <c r="S8" s="851"/>
      <c r="T8" s="851"/>
      <c r="U8" s="851"/>
      <c r="V8" s="851"/>
      <c r="W8" s="851"/>
      <c r="X8" s="851"/>
      <c r="Y8" s="851"/>
      <c r="Z8" s="851"/>
      <c r="AA8" s="851"/>
      <c r="AB8" s="851"/>
      <c r="AC8" s="851"/>
      <c r="AD8" s="851"/>
      <c r="AE8" s="851"/>
      <c r="AF8" s="851"/>
      <c r="AG8" s="851"/>
      <c r="AH8" s="851"/>
      <c r="AI8" s="851"/>
      <c r="AJ8" s="851"/>
      <c r="AK8" s="851"/>
      <c r="AL8" s="851"/>
      <c r="AM8" s="852"/>
      <c r="AO8" s="70"/>
      <c r="AP8" s="70"/>
    </row>
    <row r="9" spans="2:51" x14ac:dyDescent="0.2">
      <c r="B9" s="859"/>
      <c r="C9" s="860"/>
      <c r="D9" s="860"/>
      <c r="E9" s="860"/>
      <c r="F9" s="860"/>
      <c r="G9" s="860"/>
      <c r="H9" s="860"/>
      <c r="I9" s="860"/>
      <c r="J9" s="860"/>
      <c r="K9" s="860"/>
      <c r="L9" s="860"/>
      <c r="M9" s="860"/>
      <c r="N9" s="860"/>
      <c r="O9" s="860"/>
      <c r="P9" s="860"/>
      <c r="Q9" s="861"/>
      <c r="R9" s="862"/>
      <c r="S9" s="851"/>
      <c r="T9" s="851"/>
      <c r="U9" s="851"/>
      <c r="V9" s="851"/>
      <c r="W9" s="851"/>
      <c r="X9" s="851"/>
      <c r="Y9" s="851"/>
      <c r="Z9" s="851"/>
      <c r="AA9" s="851"/>
      <c r="AB9" s="851"/>
      <c r="AC9" s="851"/>
      <c r="AD9" s="851"/>
      <c r="AE9" s="851"/>
      <c r="AF9" s="851"/>
      <c r="AG9" s="851"/>
      <c r="AH9" s="851"/>
      <c r="AI9" s="851"/>
      <c r="AJ9" s="851"/>
      <c r="AK9" s="851"/>
      <c r="AL9" s="851"/>
      <c r="AM9" s="852"/>
      <c r="AO9" s="70"/>
      <c r="AP9" s="70"/>
    </row>
    <row r="10" spans="2:51" x14ac:dyDescent="0.2">
      <c r="B10" s="863"/>
      <c r="C10" s="864"/>
      <c r="D10" s="864"/>
      <c r="E10" s="864"/>
      <c r="F10" s="864"/>
      <c r="G10" s="864"/>
      <c r="H10" s="864"/>
      <c r="I10" s="864"/>
      <c r="J10" s="864"/>
      <c r="K10" s="864"/>
      <c r="L10" s="864"/>
      <c r="M10" s="864"/>
      <c r="N10" s="864"/>
      <c r="O10" s="864"/>
      <c r="P10" s="864"/>
      <c r="Q10" s="865"/>
      <c r="R10" s="866"/>
      <c r="S10" s="853"/>
      <c r="T10" s="853"/>
      <c r="U10" s="853"/>
      <c r="V10" s="853"/>
      <c r="W10" s="853"/>
      <c r="X10" s="853"/>
      <c r="Y10" s="853"/>
      <c r="Z10" s="853"/>
      <c r="AA10" s="853"/>
      <c r="AB10" s="853"/>
      <c r="AC10" s="853"/>
      <c r="AD10" s="853"/>
      <c r="AE10" s="853"/>
      <c r="AF10" s="853"/>
      <c r="AG10" s="853"/>
      <c r="AH10" s="853"/>
      <c r="AI10" s="853"/>
      <c r="AJ10" s="853"/>
      <c r="AK10" s="853"/>
      <c r="AL10" s="853"/>
      <c r="AM10" s="854"/>
      <c r="AO10" s="70"/>
      <c r="AP10" s="70"/>
    </row>
    <row r="11" spans="2:51" ht="16.5" customHeight="1" x14ac:dyDescent="0.2">
      <c r="B11" s="886" t="s">
        <v>14</v>
      </c>
      <c r="C11" s="773" t="s">
        <v>2</v>
      </c>
      <c r="D11" s="774"/>
      <c r="E11" s="774"/>
      <c r="F11" s="774"/>
      <c r="G11" s="774"/>
      <c r="H11" s="774"/>
      <c r="I11" s="774"/>
      <c r="J11" s="774"/>
      <c r="K11" s="774"/>
      <c r="L11" s="774"/>
      <c r="M11" s="774"/>
      <c r="N11" s="774"/>
      <c r="O11" s="124" t="s">
        <v>3</v>
      </c>
      <c r="P11" s="123"/>
      <c r="Q11" s="774" t="s">
        <v>7</v>
      </c>
      <c r="R11" s="774"/>
      <c r="S11" s="774"/>
      <c r="T11" s="774"/>
      <c r="U11" s="774"/>
      <c r="V11" s="773" t="s">
        <v>8</v>
      </c>
      <c r="W11" s="774"/>
      <c r="X11" s="774"/>
      <c r="Y11" s="774"/>
      <c r="Z11" s="775"/>
      <c r="AA11" s="773" t="s">
        <v>9</v>
      </c>
      <c r="AB11" s="774"/>
      <c r="AC11" s="774"/>
      <c r="AD11" s="774"/>
      <c r="AE11" s="775"/>
      <c r="AF11" s="773" t="s">
        <v>18</v>
      </c>
      <c r="AG11" s="774"/>
      <c r="AH11" s="774"/>
      <c r="AI11" s="774"/>
      <c r="AJ11" s="774"/>
      <c r="AK11" s="775"/>
      <c r="AL11" s="871" t="s">
        <v>200</v>
      </c>
      <c r="AM11" s="872"/>
      <c r="AO11" s="70"/>
      <c r="AP11" s="70"/>
    </row>
    <row r="12" spans="2:51" x14ac:dyDescent="0.2">
      <c r="B12" s="886"/>
      <c r="C12" s="873">
        <v>1234567890</v>
      </c>
      <c r="D12" s="874"/>
      <c r="E12" s="874"/>
      <c r="F12" s="874"/>
      <c r="G12" s="874"/>
      <c r="H12" s="874"/>
      <c r="I12" s="874"/>
      <c r="J12" s="874"/>
      <c r="K12" s="874"/>
      <c r="L12" s="874"/>
      <c r="M12" s="874"/>
      <c r="N12" s="874"/>
      <c r="O12" s="875"/>
      <c r="P12" s="122"/>
      <c r="Q12" s="876" t="s">
        <v>204</v>
      </c>
      <c r="R12" s="876"/>
      <c r="S12" s="876"/>
      <c r="T12" s="876"/>
      <c r="U12" s="876"/>
      <c r="V12" s="877" t="s">
        <v>205</v>
      </c>
      <c r="W12" s="878"/>
      <c r="X12" s="878"/>
      <c r="Y12" s="878"/>
      <c r="Z12" s="879"/>
      <c r="AA12" s="877" t="s">
        <v>206</v>
      </c>
      <c r="AB12" s="878"/>
      <c r="AC12" s="878"/>
      <c r="AD12" s="878"/>
      <c r="AE12" s="879"/>
      <c r="AF12" s="877" t="s">
        <v>205</v>
      </c>
      <c r="AG12" s="878"/>
      <c r="AH12" s="878"/>
      <c r="AI12" s="878"/>
      <c r="AJ12" s="878"/>
      <c r="AK12" s="879"/>
      <c r="AL12" s="880">
        <v>32</v>
      </c>
      <c r="AM12" s="881"/>
      <c r="AO12" s="70"/>
      <c r="AP12" s="70"/>
    </row>
    <row r="13" spans="2:51" ht="18" customHeight="1" x14ac:dyDescent="0.2">
      <c r="B13" s="887"/>
      <c r="C13" s="776" t="s">
        <v>15</v>
      </c>
      <c r="D13" s="777"/>
      <c r="E13" s="777"/>
      <c r="F13" s="121" t="s">
        <v>199</v>
      </c>
      <c r="G13" s="778" t="s">
        <v>198</v>
      </c>
      <c r="H13" s="779"/>
      <c r="I13" s="779"/>
      <c r="J13" s="779"/>
      <c r="K13" s="120" t="s">
        <v>197</v>
      </c>
      <c r="L13" s="119"/>
      <c r="M13" s="118" t="s">
        <v>144</v>
      </c>
      <c r="N13" s="867" t="s">
        <v>21</v>
      </c>
      <c r="O13" s="867"/>
      <c r="P13" s="868"/>
      <c r="Q13" s="869" t="s">
        <v>144</v>
      </c>
      <c r="R13" s="870"/>
      <c r="S13" s="870"/>
      <c r="T13" s="870"/>
      <c r="U13" s="870"/>
      <c r="V13" s="882"/>
      <c r="W13" s="883"/>
      <c r="X13" s="883"/>
      <c r="Y13" s="883"/>
      <c r="Z13" s="883"/>
      <c r="AA13" s="883"/>
      <c r="AB13" s="117" t="s">
        <v>144</v>
      </c>
      <c r="AC13" s="884" t="s">
        <v>196</v>
      </c>
      <c r="AD13" s="884"/>
      <c r="AE13" s="884"/>
      <c r="AF13" s="884"/>
      <c r="AG13" s="884"/>
      <c r="AH13" s="884"/>
      <c r="AI13" s="884"/>
      <c r="AJ13" s="884"/>
      <c r="AK13" s="884"/>
      <c r="AL13" s="885"/>
      <c r="AM13" s="116" t="s">
        <v>144</v>
      </c>
      <c r="AO13" s="70"/>
      <c r="AP13" s="70"/>
    </row>
    <row r="14" spans="2:51" ht="15.75" customHeight="1" x14ac:dyDescent="0.2">
      <c r="B14" s="798" t="s">
        <v>4</v>
      </c>
      <c r="C14" s="800" t="s">
        <v>195</v>
      </c>
      <c r="D14" s="792"/>
      <c r="E14" s="792"/>
      <c r="F14" s="792"/>
      <c r="G14" s="662"/>
      <c r="H14" s="662"/>
      <c r="I14" s="662"/>
      <c r="J14" s="662"/>
      <c r="K14" s="662"/>
      <c r="L14" s="792"/>
      <c r="M14" s="793"/>
      <c r="N14" s="131">
        <v>28</v>
      </c>
      <c r="O14" s="794" t="e">
        <f>+ROUND(('1 Efectivo'!G8+'2 Inversiones'!G9+'2 Inversiones'!I19+'2 Inversiones'!D29+'2 Inversiones'!C45+'6 Fiducia'!D8+'6 Fiducia'!D10+'7 Clientes'!B12-'7 Clientes'!F20+'8 Prestamos'!G7+'9 Inventario'!D8+'9 Inventario'!#REF!+'11 PPYE y PI'!F13+'11 PPYE y PI'!B39),-3)</f>
        <v>#REF!</v>
      </c>
      <c r="P14" s="794"/>
      <c r="Q14" s="794"/>
      <c r="R14" s="794"/>
      <c r="S14" s="794"/>
      <c r="T14" s="801" t="s">
        <v>16</v>
      </c>
      <c r="U14" s="802"/>
      <c r="V14" s="802"/>
      <c r="W14" s="802"/>
      <c r="X14" s="802"/>
      <c r="Y14" s="802"/>
      <c r="Z14" s="802"/>
      <c r="AA14" s="802"/>
      <c r="AB14" s="802"/>
      <c r="AC14" s="802"/>
      <c r="AD14" s="802"/>
      <c r="AE14" s="802"/>
      <c r="AF14" s="803"/>
      <c r="AG14" s="132">
        <v>68</v>
      </c>
      <c r="AH14" s="731">
        <f>+ROUND(('19 RP'!C19),-3)</f>
        <v>0</v>
      </c>
      <c r="AI14" s="731"/>
      <c r="AJ14" s="731"/>
      <c r="AK14" s="731"/>
      <c r="AL14" s="731"/>
      <c r="AM14" s="732"/>
      <c r="AO14" s="70"/>
      <c r="AP14" s="70"/>
      <c r="AW14" s="93" t="e">
        <f t="shared" ref="AW14:AW53" si="0">IF(O14&lt;0,1,0)</f>
        <v>#REF!</v>
      </c>
      <c r="AX14" s="93">
        <f t="shared" ref="AX14:AX52" si="1">IF(AH14&lt;0,1,0)</f>
        <v>0</v>
      </c>
    </row>
    <row r="15" spans="2:51" ht="20.25" customHeight="1" x14ac:dyDescent="0.2">
      <c r="B15" s="799"/>
      <c r="C15" s="795" t="s">
        <v>5</v>
      </c>
      <c r="D15" s="708"/>
      <c r="E15" s="708"/>
      <c r="F15" s="708"/>
      <c r="G15" s="708"/>
      <c r="H15" s="708"/>
      <c r="I15" s="708"/>
      <c r="J15" s="708"/>
      <c r="K15" s="708"/>
      <c r="L15" s="708"/>
      <c r="M15" s="709"/>
      <c r="N15" s="133">
        <v>29</v>
      </c>
      <c r="O15" s="765">
        <f>+ROUND((+'14 Deudas'!D17),-3)</f>
        <v>1189237000</v>
      </c>
      <c r="P15" s="765"/>
      <c r="Q15" s="765"/>
      <c r="R15" s="765"/>
      <c r="S15" s="765"/>
      <c r="T15" s="804" t="s">
        <v>194</v>
      </c>
      <c r="U15" s="725" t="s">
        <v>193</v>
      </c>
      <c r="V15" s="726"/>
      <c r="W15" s="726"/>
      <c r="X15" s="726"/>
      <c r="Y15" s="726"/>
      <c r="Z15" s="726"/>
      <c r="AA15" s="726"/>
      <c r="AB15" s="726"/>
      <c r="AC15" s="726"/>
      <c r="AD15" s="726"/>
      <c r="AE15" s="726"/>
      <c r="AF15" s="727"/>
      <c r="AG15" s="134">
        <v>69</v>
      </c>
      <c r="AH15" s="763">
        <v>0</v>
      </c>
      <c r="AI15" s="763"/>
      <c r="AJ15" s="763"/>
      <c r="AK15" s="763"/>
      <c r="AL15" s="763"/>
      <c r="AM15" s="764"/>
      <c r="AO15" s="70"/>
      <c r="AP15" s="103"/>
      <c r="AW15" s="93">
        <f t="shared" si="0"/>
        <v>0</v>
      </c>
      <c r="AX15" s="93">
        <f t="shared" si="1"/>
        <v>0</v>
      </c>
    </row>
    <row r="16" spans="2:51" ht="15.75" customHeight="1" x14ac:dyDescent="0.2">
      <c r="B16" s="799"/>
      <c r="C16" s="666" t="s">
        <v>192</v>
      </c>
      <c r="D16" s="730"/>
      <c r="E16" s="730"/>
      <c r="F16" s="730"/>
      <c r="G16" s="730"/>
      <c r="H16" s="730"/>
      <c r="I16" s="730"/>
      <c r="J16" s="730"/>
      <c r="K16" s="730"/>
      <c r="L16" s="730"/>
      <c r="M16" s="749"/>
      <c r="N16" s="111">
        <v>30</v>
      </c>
      <c r="O16" s="807" t="e">
        <f>+O14-O15</f>
        <v>#REF!</v>
      </c>
      <c r="P16" s="807"/>
      <c r="Q16" s="807"/>
      <c r="R16" s="807"/>
      <c r="S16" s="807"/>
      <c r="T16" s="805"/>
      <c r="U16" s="661" t="s">
        <v>30</v>
      </c>
      <c r="V16" s="662"/>
      <c r="W16" s="662"/>
      <c r="X16" s="662"/>
      <c r="Y16" s="662"/>
      <c r="Z16" s="662"/>
      <c r="AA16" s="662"/>
      <c r="AB16" s="662"/>
      <c r="AC16" s="662"/>
      <c r="AD16" s="662"/>
      <c r="AE16" s="662"/>
      <c r="AF16" s="729"/>
      <c r="AG16" s="135">
        <v>70</v>
      </c>
      <c r="AH16" s="766">
        <v>0</v>
      </c>
      <c r="AI16" s="766"/>
      <c r="AJ16" s="766"/>
      <c r="AK16" s="766"/>
      <c r="AL16" s="766"/>
      <c r="AM16" s="767"/>
      <c r="AO16" s="70"/>
      <c r="AP16" s="70"/>
      <c r="AW16" s="93" t="e">
        <f t="shared" si="0"/>
        <v>#REF!</v>
      </c>
      <c r="AX16" s="93">
        <f t="shared" si="1"/>
        <v>0</v>
      </c>
    </row>
    <row r="17" spans="2:50" ht="17.25" customHeight="1" x14ac:dyDescent="0.2">
      <c r="B17" s="689" t="s">
        <v>191</v>
      </c>
      <c r="C17" s="722" t="s">
        <v>32</v>
      </c>
      <c r="D17" s="725" t="s">
        <v>29</v>
      </c>
      <c r="E17" s="726"/>
      <c r="F17" s="726"/>
      <c r="G17" s="726"/>
      <c r="H17" s="726"/>
      <c r="I17" s="726"/>
      <c r="J17" s="726"/>
      <c r="K17" s="726"/>
      <c r="L17" s="726"/>
      <c r="M17" s="727"/>
      <c r="N17" s="133">
        <v>31</v>
      </c>
      <c r="O17" s="765">
        <f>+ROUND(('15 CG RT'!C9),-3)</f>
        <v>73100000</v>
      </c>
      <c r="P17" s="765"/>
      <c r="Q17" s="765"/>
      <c r="R17" s="765"/>
      <c r="S17" s="765"/>
      <c r="T17" s="805"/>
      <c r="U17" s="704" t="s">
        <v>190</v>
      </c>
      <c r="V17" s="705"/>
      <c r="W17" s="705"/>
      <c r="X17" s="705"/>
      <c r="Y17" s="705"/>
      <c r="Z17" s="705"/>
      <c r="AA17" s="705"/>
      <c r="AB17" s="705"/>
      <c r="AC17" s="705"/>
      <c r="AD17" s="705"/>
      <c r="AE17" s="705"/>
      <c r="AF17" s="706"/>
      <c r="AG17" s="115">
        <v>71</v>
      </c>
      <c r="AH17" s="763">
        <v>0</v>
      </c>
      <c r="AI17" s="763"/>
      <c r="AJ17" s="763"/>
      <c r="AK17" s="763"/>
      <c r="AL17" s="763"/>
      <c r="AM17" s="764"/>
      <c r="AO17" s="103"/>
      <c r="AP17" s="70"/>
      <c r="AW17" s="93">
        <f t="shared" si="0"/>
        <v>0</v>
      </c>
      <c r="AX17" s="93">
        <f t="shared" si="1"/>
        <v>0</v>
      </c>
    </row>
    <row r="18" spans="2:50" ht="17.25" customHeight="1" x14ac:dyDescent="0.2">
      <c r="B18" s="690"/>
      <c r="C18" s="723"/>
      <c r="D18" s="661" t="s">
        <v>30</v>
      </c>
      <c r="E18" s="662"/>
      <c r="F18" s="662"/>
      <c r="G18" s="662"/>
      <c r="H18" s="662"/>
      <c r="I18" s="662"/>
      <c r="J18" s="662"/>
      <c r="K18" s="662"/>
      <c r="L18" s="662"/>
      <c r="M18" s="729"/>
      <c r="N18" s="135">
        <v>32</v>
      </c>
      <c r="O18" s="759">
        <f>+ROUND(('15 CG RT'!C14),-3)</f>
        <v>4800000</v>
      </c>
      <c r="P18" s="759"/>
      <c r="Q18" s="759"/>
      <c r="R18" s="759"/>
      <c r="S18" s="759"/>
      <c r="T18" s="805"/>
      <c r="U18" s="661" t="s">
        <v>33</v>
      </c>
      <c r="V18" s="662"/>
      <c r="W18" s="662"/>
      <c r="X18" s="662"/>
      <c r="Y18" s="662"/>
      <c r="Z18" s="662"/>
      <c r="AA18" s="662"/>
      <c r="AB18" s="662"/>
      <c r="AC18" s="662"/>
      <c r="AD18" s="662"/>
      <c r="AE18" s="662"/>
      <c r="AF18" s="729"/>
      <c r="AG18" s="135">
        <v>72</v>
      </c>
      <c r="AH18" s="766">
        <v>0</v>
      </c>
      <c r="AI18" s="766"/>
      <c r="AJ18" s="766"/>
      <c r="AK18" s="766"/>
      <c r="AL18" s="766"/>
      <c r="AM18" s="767"/>
      <c r="AO18" s="70"/>
      <c r="AP18" s="70"/>
      <c r="AW18" s="93">
        <f t="shared" si="0"/>
        <v>0</v>
      </c>
      <c r="AX18" s="93">
        <f t="shared" si="1"/>
        <v>0</v>
      </c>
    </row>
    <row r="19" spans="2:50" ht="17.25" customHeight="1" x14ac:dyDescent="0.2">
      <c r="B19" s="690"/>
      <c r="C19" s="723"/>
      <c r="D19" s="652" t="s">
        <v>189</v>
      </c>
      <c r="E19" s="653"/>
      <c r="F19" s="653"/>
      <c r="G19" s="653"/>
      <c r="H19" s="653"/>
      <c r="I19" s="653"/>
      <c r="J19" s="653"/>
      <c r="K19" s="653"/>
      <c r="L19" s="653"/>
      <c r="M19" s="780"/>
      <c r="N19" s="133">
        <v>33</v>
      </c>
      <c r="O19" s="781">
        <v>0</v>
      </c>
      <c r="P19" s="781"/>
      <c r="Q19" s="781"/>
      <c r="R19" s="781"/>
      <c r="S19" s="781"/>
      <c r="T19" s="806"/>
      <c r="U19" s="782" t="s">
        <v>520</v>
      </c>
      <c r="V19" s="782"/>
      <c r="W19" s="782"/>
      <c r="X19" s="782"/>
      <c r="Y19" s="782"/>
      <c r="Z19" s="782"/>
      <c r="AA19" s="782"/>
      <c r="AB19" s="782"/>
      <c r="AC19" s="782"/>
      <c r="AD19" s="782"/>
      <c r="AE19" s="782"/>
      <c r="AF19" s="783"/>
      <c r="AG19" s="114">
        <v>73</v>
      </c>
      <c r="AH19" s="784">
        <v>0</v>
      </c>
      <c r="AI19" s="784"/>
      <c r="AJ19" s="784"/>
      <c r="AK19" s="784"/>
      <c r="AL19" s="784"/>
      <c r="AM19" s="785"/>
      <c r="AO19" s="70"/>
      <c r="AP19" s="70"/>
      <c r="AW19" s="93">
        <f t="shared" si="0"/>
        <v>0</v>
      </c>
      <c r="AX19" s="93">
        <f t="shared" si="1"/>
        <v>0</v>
      </c>
    </row>
    <row r="20" spans="2:50" ht="17.25" customHeight="1" x14ac:dyDescent="0.2">
      <c r="B20" s="690"/>
      <c r="C20" s="723"/>
      <c r="D20" s="698" t="s">
        <v>188</v>
      </c>
      <c r="E20" s="667"/>
      <c r="F20" s="667"/>
      <c r="G20" s="667"/>
      <c r="H20" s="667"/>
      <c r="I20" s="667"/>
      <c r="J20" s="667"/>
      <c r="K20" s="667"/>
      <c r="L20" s="667"/>
      <c r="M20" s="721"/>
      <c r="N20" s="106">
        <v>34</v>
      </c>
      <c r="O20" s="786">
        <f>+O17-O18-O19</f>
        <v>68300000</v>
      </c>
      <c r="P20" s="786"/>
      <c r="Q20" s="786"/>
      <c r="R20" s="786"/>
      <c r="S20" s="786"/>
      <c r="T20" s="787" t="s">
        <v>187</v>
      </c>
      <c r="U20" s="662" t="s">
        <v>186</v>
      </c>
      <c r="V20" s="662"/>
      <c r="W20" s="662"/>
      <c r="X20" s="662"/>
      <c r="Y20" s="662"/>
      <c r="Z20" s="662"/>
      <c r="AA20" s="662"/>
      <c r="AB20" s="662"/>
      <c r="AC20" s="662"/>
      <c r="AD20" s="662"/>
      <c r="AE20" s="662"/>
      <c r="AF20" s="662"/>
      <c r="AG20" s="131">
        <v>74</v>
      </c>
      <c r="AH20" s="789">
        <f>+ROUND(('20 Div'!B8),-3)</f>
        <v>112087000</v>
      </c>
      <c r="AI20" s="789"/>
      <c r="AJ20" s="789"/>
      <c r="AK20" s="789"/>
      <c r="AL20" s="789"/>
      <c r="AM20" s="790"/>
      <c r="AO20" s="70"/>
      <c r="AP20" s="103"/>
      <c r="AW20" s="93">
        <f t="shared" si="0"/>
        <v>0</v>
      </c>
      <c r="AX20" s="93">
        <f t="shared" si="1"/>
        <v>0</v>
      </c>
    </row>
    <row r="21" spans="2:50" ht="17.25" customHeight="1" x14ac:dyDescent="0.2">
      <c r="B21" s="690"/>
      <c r="C21" s="723"/>
      <c r="D21" s="652" t="s">
        <v>185</v>
      </c>
      <c r="E21" s="653"/>
      <c r="F21" s="653"/>
      <c r="G21" s="653"/>
      <c r="H21" s="653"/>
      <c r="I21" s="653"/>
      <c r="J21" s="653"/>
      <c r="K21" s="653"/>
      <c r="L21" s="653"/>
      <c r="M21" s="780"/>
      <c r="N21" s="136">
        <v>35</v>
      </c>
      <c r="O21" s="655">
        <f>+ROUND((+'15 CG RT'!C47),-3)</f>
        <v>21275000</v>
      </c>
      <c r="P21" s="655"/>
      <c r="Q21" s="655"/>
      <c r="R21" s="655"/>
      <c r="S21" s="655"/>
      <c r="T21" s="788"/>
      <c r="U21" s="653" t="s">
        <v>30</v>
      </c>
      <c r="V21" s="653"/>
      <c r="W21" s="653"/>
      <c r="X21" s="653"/>
      <c r="Y21" s="653"/>
      <c r="Z21" s="653"/>
      <c r="AA21" s="653"/>
      <c r="AB21" s="653"/>
      <c r="AC21" s="653"/>
      <c r="AD21" s="653"/>
      <c r="AE21" s="653"/>
      <c r="AF21" s="653"/>
      <c r="AG21" s="137">
        <v>75</v>
      </c>
      <c r="AH21" s="763">
        <f>+ROUND(('20 Div'!B10),-3)</f>
        <v>112087000</v>
      </c>
      <c r="AI21" s="763"/>
      <c r="AJ21" s="763"/>
      <c r="AK21" s="763"/>
      <c r="AL21" s="763"/>
      <c r="AM21" s="764"/>
      <c r="AO21" s="70"/>
      <c r="AP21" s="70"/>
      <c r="AW21" s="93">
        <f t="shared" si="0"/>
        <v>0</v>
      </c>
      <c r="AX21" s="93">
        <f t="shared" si="1"/>
        <v>0</v>
      </c>
    </row>
    <row r="22" spans="2:50" ht="17.25" customHeight="1" x14ac:dyDescent="0.2">
      <c r="B22" s="690"/>
      <c r="C22" s="723"/>
      <c r="D22" s="698" t="s">
        <v>31</v>
      </c>
      <c r="E22" s="667"/>
      <c r="F22" s="667"/>
      <c r="G22" s="667"/>
      <c r="H22" s="667"/>
      <c r="I22" s="667"/>
      <c r="J22" s="667"/>
      <c r="K22" s="667"/>
      <c r="L22" s="667"/>
      <c r="M22" s="721"/>
      <c r="N22" s="138">
        <v>36</v>
      </c>
      <c r="O22" s="714">
        <v>0</v>
      </c>
      <c r="P22" s="714"/>
      <c r="Q22" s="714"/>
      <c r="R22" s="714"/>
      <c r="S22" s="714"/>
      <c r="T22" s="788"/>
      <c r="U22" s="667" t="s">
        <v>184</v>
      </c>
      <c r="V22" s="667"/>
      <c r="W22" s="667"/>
      <c r="X22" s="667"/>
      <c r="Y22" s="667"/>
      <c r="Z22" s="667"/>
      <c r="AA22" s="667"/>
      <c r="AB22" s="667"/>
      <c r="AC22" s="667"/>
      <c r="AD22" s="667"/>
      <c r="AE22" s="667"/>
      <c r="AF22" s="667"/>
      <c r="AG22" s="99">
        <v>76</v>
      </c>
      <c r="AH22" s="768">
        <f>+AH20-AH21</f>
        <v>0</v>
      </c>
      <c r="AI22" s="768"/>
      <c r="AJ22" s="768"/>
      <c r="AK22" s="768"/>
      <c r="AL22" s="768"/>
      <c r="AM22" s="769"/>
      <c r="AN22" s="139"/>
      <c r="AO22" s="103"/>
      <c r="AP22" s="70"/>
      <c r="AW22" s="93">
        <f t="shared" si="0"/>
        <v>0</v>
      </c>
      <c r="AX22" s="93">
        <f t="shared" si="1"/>
        <v>0</v>
      </c>
    </row>
    <row r="23" spans="2:50" ht="17.25" customHeight="1" x14ac:dyDescent="0.2">
      <c r="B23" s="690"/>
      <c r="C23" s="724"/>
      <c r="D23" s="670" t="s">
        <v>183</v>
      </c>
      <c r="E23" s="671"/>
      <c r="F23" s="671"/>
      <c r="G23" s="671"/>
      <c r="H23" s="671"/>
      <c r="I23" s="671"/>
      <c r="J23" s="671"/>
      <c r="K23" s="671"/>
      <c r="L23" s="671"/>
      <c r="M23" s="762"/>
      <c r="N23" s="113">
        <v>37</v>
      </c>
      <c r="O23" s="673">
        <f>+O20-O22</f>
        <v>68300000</v>
      </c>
      <c r="P23" s="673"/>
      <c r="Q23" s="673"/>
      <c r="R23" s="673"/>
      <c r="S23" s="673"/>
      <c r="T23" s="788"/>
      <c r="U23" s="708" t="s">
        <v>521</v>
      </c>
      <c r="V23" s="708"/>
      <c r="W23" s="708"/>
      <c r="X23" s="708"/>
      <c r="Y23" s="708"/>
      <c r="Z23" s="708"/>
      <c r="AA23" s="708"/>
      <c r="AB23" s="708"/>
      <c r="AC23" s="708"/>
      <c r="AD23" s="708"/>
      <c r="AE23" s="708"/>
      <c r="AF23" s="708"/>
      <c r="AG23" s="137">
        <v>77</v>
      </c>
      <c r="AH23" s="763">
        <f>+ROUND(('20 Div'!B17),-3)</f>
        <v>123000000</v>
      </c>
      <c r="AI23" s="763"/>
      <c r="AJ23" s="763"/>
      <c r="AK23" s="763"/>
      <c r="AL23" s="763"/>
      <c r="AM23" s="764"/>
      <c r="AN23" s="139"/>
      <c r="AO23" s="70"/>
      <c r="AP23" s="70"/>
      <c r="AW23" s="93">
        <f t="shared" si="0"/>
        <v>0</v>
      </c>
      <c r="AX23" s="93">
        <f t="shared" si="1"/>
        <v>0</v>
      </c>
    </row>
    <row r="24" spans="2:50" ht="17.25" customHeight="1" x14ac:dyDescent="0.2">
      <c r="B24" s="690"/>
      <c r="C24" s="770" t="s">
        <v>36</v>
      </c>
      <c r="D24" s="791" t="s">
        <v>182</v>
      </c>
      <c r="E24" s="792"/>
      <c r="F24" s="792"/>
      <c r="G24" s="792"/>
      <c r="H24" s="792"/>
      <c r="I24" s="792"/>
      <c r="J24" s="792"/>
      <c r="K24" s="792"/>
      <c r="L24" s="792"/>
      <c r="M24" s="793"/>
      <c r="N24" s="131">
        <v>38</v>
      </c>
      <c r="O24" s="794">
        <f>+ROUND(('16 CG RC'!B10),-3)</f>
        <v>147279000</v>
      </c>
      <c r="P24" s="794"/>
      <c r="Q24" s="794"/>
      <c r="R24" s="794"/>
      <c r="S24" s="794"/>
      <c r="T24" s="788"/>
      <c r="U24" s="662" t="s">
        <v>522</v>
      </c>
      <c r="V24" s="662"/>
      <c r="W24" s="662"/>
      <c r="X24" s="662"/>
      <c r="Y24" s="662"/>
      <c r="Z24" s="662"/>
      <c r="AA24" s="662"/>
      <c r="AB24" s="662"/>
      <c r="AC24" s="662"/>
      <c r="AD24" s="662"/>
      <c r="AE24" s="662"/>
      <c r="AF24" s="662"/>
      <c r="AG24" s="140">
        <v>78</v>
      </c>
      <c r="AH24" s="766">
        <f>+ROUND(('20 Div'!B22),-3)</f>
        <v>65432000</v>
      </c>
      <c r="AI24" s="766"/>
      <c r="AJ24" s="766"/>
      <c r="AK24" s="766"/>
      <c r="AL24" s="766"/>
      <c r="AM24" s="767"/>
      <c r="AO24" s="70"/>
      <c r="AP24" s="70"/>
      <c r="AW24" s="93">
        <f t="shared" si="0"/>
        <v>0</v>
      </c>
      <c r="AX24" s="93">
        <f t="shared" si="1"/>
        <v>0</v>
      </c>
    </row>
    <row r="25" spans="2:50" ht="17.25" customHeight="1" x14ac:dyDescent="0.2">
      <c r="B25" s="690"/>
      <c r="C25" s="771"/>
      <c r="D25" s="707" t="s">
        <v>30</v>
      </c>
      <c r="E25" s="708"/>
      <c r="F25" s="708"/>
      <c r="G25" s="708"/>
      <c r="H25" s="708"/>
      <c r="I25" s="708"/>
      <c r="J25" s="708"/>
      <c r="K25" s="708"/>
      <c r="L25" s="708"/>
      <c r="M25" s="709"/>
      <c r="N25" s="133">
        <v>39</v>
      </c>
      <c r="O25" s="765">
        <f>+ROUND(('16 CG RC'!B17),-3)</f>
        <v>7573000</v>
      </c>
      <c r="P25" s="765"/>
      <c r="Q25" s="765"/>
      <c r="R25" s="765"/>
      <c r="S25" s="765"/>
      <c r="T25" s="788"/>
      <c r="U25" s="795" t="s">
        <v>181</v>
      </c>
      <c r="V25" s="708"/>
      <c r="W25" s="708"/>
      <c r="X25" s="708"/>
      <c r="Y25" s="708"/>
      <c r="Z25" s="708"/>
      <c r="AA25" s="708"/>
      <c r="AB25" s="708"/>
      <c r="AC25" s="708"/>
      <c r="AD25" s="708"/>
      <c r="AE25" s="708"/>
      <c r="AF25" s="708"/>
      <c r="AG25" s="137">
        <v>79</v>
      </c>
      <c r="AH25" s="696">
        <v>0</v>
      </c>
      <c r="AI25" s="696"/>
      <c r="AJ25" s="696"/>
      <c r="AK25" s="696"/>
      <c r="AL25" s="696"/>
      <c r="AM25" s="697"/>
      <c r="AO25" s="70"/>
      <c r="AP25" s="70"/>
      <c r="AW25" s="93">
        <f t="shared" si="0"/>
        <v>0</v>
      </c>
      <c r="AX25" s="93">
        <f t="shared" si="1"/>
        <v>0</v>
      </c>
    </row>
    <row r="26" spans="2:50" ht="17.25" customHeight="1" x14ac:dyDescent="0.2">
      <c r="B26" s="690"/>
      <c r="C26" s="771"/>
      <c r="D26" s="661" t="s">
        <v>180</v>
      </c>
      <c r="E26" s="662"/>
      <c r="F26" s="662"/>
      <c r="G26" s="662"/>
      <c r="H26" s="662"/>
      <c r="I26" s="662"/>
      <c r="J26" s="662"/>
      <c r="K26" s="662"/>
      <c r="L26" s="662"/>
      <c r="M26" s="729"/>
      <c r="N26" s="135">
        <f>SUM(N25+1)</f>
        <v>40</v>
      </c>
      <c r="O26" s="759">
        <f>+ROUND(('16 CG RC'!B26),-3)</f>
        <v>103182000</v>
      </c>
      <c r="P26" s="759"/>
      <c r="Q26" s="759"/>
      <c r="R26" s="759"/>
      <c r="S26" s="759"/>
      <c r="T26" s="788"/>
      <c r="U26" s="796" t="s">
        <v>179</v>
      </c>
      <c r="V26" s="797"/>
      <c r="W26" s="797"/>
      <c r="X26" s="797"/>
      <c r="Y26" s="797"/>
      <c r="Z26" s="797"/>
      <c r="AA26" s="797"/>
      <c r="AB26" s="797"/>
      <c r="AC26" s="797"/>
      <c r="AD26" s="797"/>
      <c r="AE26" s="797"/>
      <c r="AF26" s="797"/>
      <c r="AG26" s="132">
        <v>80</v>
      </c>
      <c r="AH26" s="760">
        <v>0</v>
      </c>
      <c r="AI26" s="760"/>
      <c r="AJ26" s="760"/>
      <c r="AK26" s="760"/>
      <c r="AL26" s="760"/>
      <c r="AM26" s="761"/>
      <c r="AO26" s="70"/>
      <c r="AP26" s="70"/>
      <c r="AW26" s="93">
        <f t="shared" si="0"/>
        <v>0</v>
      </c>
      <c r="AX26" s="93">
        <f t="shared" si="1"/>
        <v>0</v>
      </c>
    </row>
    <row r="27" spans="2:50" ht="17.25" customHeight="1" x14ac:dyDescent="0.2">
      <c r="B27" s="690"/>
      <c r="C27" s="771"/>
      <c r="D27" s="704" t="s">
        <v>178</v>
      </c>
      <c r="E27" s="705"/>
      <c r="F27" s="705"/>
      <c r="G27" s="705"/>
      <c r="H27" s="705"/>
      <c r="I27" s="705"/>
      <c r="J27" s="705"/>
      <c r="K27" s="705"/>
      <c r="L27" s="705"/>
      <c r="M27" s="706"/>
      <c r="N27" s="108">
        <f>SUM(N26+1)</f>
        <v>41</v>
      </c>
      <c r="O27" s="673">
        <f>+O24-O25-O26</f>
        <v>36524000</v>
      </c>
      <c r="P27" s="673"/>
      <c r="Q27" s="673"/>
      <c r="R27" s="673"/>
      <c r="S27" s="673"/>
      <c r="T27" s="756" t="s">
        <v>177</v>
      </c>
      <c r="U27" s="653" t="s">
        <v>176</v>
      </c>
      <c r="V27" s="653"/>
      <c r="W27" s="653"/>
      <c r="X27" s="653"/>
      <c r="Y27" s="653"/>
      <c r="Z27" s="653"/>
      <c r="AA27" s="653"/>
      <c r="AB27" s="653"/>
      <c r="AC27" s="653"/>
      <c r="AD27" s="653"/>
      <c r="AE27" s="653"/>
      <c r="AF27" s="653"/>
      <c r="AG27" s="137">
        <v>81</v>
      </c>
      <c r="AH27" s="696">
        <f>+ROUND(('21 GO'!B7),-3)</f>
        <v>6931000</v>
      </c>
      <c r="AI27" s="696"/>
      <c r="AJ27" s="696"/>
      <c r="AK27" s="696"/>
      <c r="AL27" s="696"/>
      <c r="AM27" s="697"/>
      <c r="AO27" s="70"/>
      <c r="AP27" s="103"/>
      <c r="AW27" s="93">
        <f t="shared" si="0"/>
        <v>0</v>
      </c>
      <c r="AX27" s="93">
        <f t="shared" si="1"/>
        <v>0</v>
      </c>
    </row>
    <row r="28" spans="2:50" ht="17.25" customHeight="1" x14ac:dyDescent="0.2">
      <c r="B28" s="690"/>
      <c r="C28" s="771"/>
      <c r="D28" s="661" t="s">
        <v>53</v>
      </c>
      <c r="E28" s="662"/>
      <c r="F28" s="662"/>
      <c r="G28" s="662"/>
      <c r="H28" s="662"/>
      <c r="I28" s="662"/>
      <c r="J28" s="662"/>
      <c r="K28" s="662"/>
      <c r="L28" s="662"/>
      <c r="M28" s="729"/>
      <c r="N28" s="135">
        <f>SUM(N27+1)</f>
        <v>42</v>
      </c>
      <c r="O28" s="759">
        <v>0</v>
      </c>
      <c r="P28" s="759"/>
      <c r="Q28" s="759"/>
      <c r="R28" s="759"/>
      <c r="S28" s="759"/>
      <c r="T28" s="757"/>
      <c r="U28" s="662" t="s">
        <v>27</v>
      </c>
      <c r="V28" s="662"/>
      <c r="W28" s="662"/>
      <c r="X28" s="662"/>
      <c r="Y28" s="662"/>
      <c r="Z28" s="662"/>
      <c r="AA28" s="662"/>
      <c r="AB28" s="662"/>
      <c r="AC28" s="662"/>
      <c r="AD28" s="662"/>
      <c r="AE28" s="662"/>
      <c r="AF28" s="662"/>
      <c r="AG28" s="140">
        <v>82</v>
      </c>
      <c r="AH28" s="684">
        <f>+ROUND(('21 GO'!C7),-3)</f>
        <v>6931000</v>
      </c>
      <c r="AI28" s="684"/>
      <c r="AJ28" s="684"/>
      <c r="AK28" s="684"/>
      <c r="AL28" s="684"/>
      <c r="AM28" s="685"/>
      <c r="AO28" s="70"/>
      <c r="AP28" s="103"/>
      <c r="AW28" s="93">
        <f t="shared" si="0"/>
        <v>0</v>
      </c>
      <c r="AX28" s="93">
        <f t="shared" si="1"/>
        <v>0</v>
      </c>
    </row>
    <row r="29" spans="2:50" ht="17.25" customHeight="1" x14ac:dyDescent="0.2">
      <c r="B29" s="690"/>
      <c r="C29" s="771"/>
      <c r="D29" s="707" t="s">
        <v>35</v>
      </c>
      <c r="E29" s="708"/>
      <c r="F29" s="708"/>
      <c r="G29" s="708"/>
      <c r="H29" s="708"/>
      <c r="I29" s="708"/>
      <c r="J29" s="708"/>
      <c r="K29" s="708"/>
      <c r="L29" s="708"/>
      <c r="M29" s="709"/>
      <c r="N29" s="136">
        <v>43</v>
      </c>
      <c r="O29" s="655">
        <f>+ROUND(('16 CG RC'!B33),-3)</f>
        <v>295000</v>
      </c>
      <c r="P29" s="655"/>
      <c r="Q29" s="655"/>
      <c r="R29" s="655"/>
      <c r="S29" s="655"/>
      <c r="T29" s="757"/>
      <c r="U29" s="653" t="s">
        <v>40</v>
      </c>
      <c r="V29" s="653"/>
      <c r="W29" s="653"/>
      <c r="X29" s="653"/>
      <c r="Y29" s="653"/>
      <c r="Z29" s="653"/>
      <c r="AA29" s="653"/>
      <c r="AB29" s="653"/>
      <c r="AC29" s="653"/>
      <c r="AD29" s="653"/>
      <c r="AE29" s="653"/>
      <c r="AF29" s="653"/>
      <c r="AG29" s="137">
        <v>83</v>
      </c>
      <c r="AH29" s="696">
        <f>+ROUND(('21 GO'!D7),-3)</f>
        <v>0</v>
      </c>
      <c r="AI29" s="696"/>
      <c r="AJ29" s="696"/>
      <c r="AK29" s="696"/>
      <c r="AL29" s="696"/>
      <c r="AM29" s="697"/>
      <c r="AO29" s="70"/>
      <c r="AP29" s="70"/>
      <c r="AW29" s="93">
        <f t="shared" si="0"/>
        <v>0</v>
      </c>
      <c r="AX29" s="93">
        <f t="shared" si="1"/>
        <v>0</v>
      </c>
    </row>
    <row r="30" spans="2:50" ht="17.25" customHeight="1" x14ac:dyDescent="0.2">
      <c r="B30" s="690"/>
      <c r="C30" s="771"/>
      <c r="D30" s="698" t="s">
        <v>175</v>
      </c>
      <c r="E30" s="667"/>
      <c r="F30" s="667"/>
      <c r="G30" s="667"/>
      <c r="H30" s="667"/>
      <c r="I30" s="667"/>
      <c r="J30" s="667"/>
      <c r="K30" s="667"/>
      <c r="L30" s="667"/>
      <c r="M30" s="721"/>
      <c r="N30" s="106">
        <f t="shared" ref="N30:N36" si="2">SUM(N29+1)</f>
        <v>44</v>
      </c>
      <c r="O30" s="714">
        <v>0</v>
      </c>
      <c r="P30" s="714"/>
      <c r="Q30" s="714"/>
      <c r="R30" s="714"/>
      <c r="S30" s="714"/>
      <c r="T30" s="758"/>
      <c r="U30" s="667" t="s">
        <v>174</v>
      </c>
      <c r="V30" s="667"/>
      <c r="W30" s="667"/>
      <c r="X30" s="667"/>
      <c r="Y30" s="667"/>
      <c r="Z30" s="667"/>
      <c r="AA30" s="667"/>
      <c r="AB30" s="667"/>
      <c r="AC30" s="667"/>
      <c r="AD30" s="667"/>
      <c r="AE30" s="667"/>
      <c r="AF30" s="667"/>
      <c r="AG30" s="141">
        <v>84</v>
      </c>
      <c r="AH30" s="716">
        <f>+AH27-AH28-AH29</f>
        <v>0</v>
      </c>
      <c r="AI30" s="716"/>
      <c r="AJ30" s="716"/>
      <c r="AK30" s="716"/>
      <c r="AL30" s="716"/>
      <c r="AM30" s="717"/>
      <c r="AO30" s="103"/>
      <c r="AP30" s="70"/>
      <c r="AW30" s="93">
        <f t="shared" si="0"/>
        <v>0</v>
      </c>
      <c r="AX30" s="93">
        <f t="shared" si="1"/>
        <v>0</v>
      </c>
    </row>
    <row r="31" spans="2:50" ht="17.25" customHeight="1" x14ac:dyDescent="0.2">
      <c r="B31" s="690"/>
      <c r="C31" s="771"/>
      <c r="D31" s="704" t="s">
        <v>173</v>
      </c>
      <c r="E31" s="705"/>
      <c r="F31" s="705"/>
      <c r="G31" s="705"/>
      <c r="H31" s="705"/>
      <c r="I31" s="705"/>
      <c r="J31" s="705"/>
      <c r="K31" s="705"/>
      <c r="L31" s="705"/>
      <c r="M31" s="706"/>
      <c r="N31" s="108">
        <f t="shared" si="2"/>
        <v>45</v>
      </c>
      <c r="O31" s="673">
        <f>+O27-O30</f>
        <v>36524000</v>
      </c>
      <c r="P31" s="673"/>
      <c r="Q31" s="673"/>
      <c r="R31" s="673"/>
      <c r="S31" s="673"/>
      <c r="T31" s="739" t="s">
        <v>25</v>
      </c>
      <c r="U31" s="741" t="s">
        <v>172</v>
      </c>
      <c r="V31" s="742"/>
      <c r="W31" s="736" t="s">
        <v>171</v>
      </c>
      <c r="X31" s="736"/>
      <c r="Y31" s="736"/>
      <c r="Z31" s="736"/>
      <c r="AA31" s="736"/>
      <c r="AB31" s="736"/>
      <c r="AC31" s="736"/>
      <c r="AD31" s="736"/>
      <c r="AE31" s="736"/>
      <c r="AF31" s="736"/>
      <c r="AG31" s="112">
        <v>85</v>
      </c>
      <c r="AH31" s="737">
        <f>+ROUND(('22 Tarifas'!C40),-3)</f>
        <v>101935000</v>
      </c>
      <c r="AI31" s="737"/>
      <c r="AJ31" s="737"/>
      <c r="AK31" s="737"/>
      <c r="AL31" s="737"/>
      <c r="AM31" s="738"/>
      <c r="AO31" s="70"/>
      <c r="AP31" s="70"/>
      <c r="AW31" s="93">
        <f t="shared" si="0"/>
        <v>0</v>
      </c>
      <c r="AX31" s="93">
        <f t="shared" si="1"/>
        <v>0</v>
      </c>
    </row>
    <row r="32" spans="2:50" ht="17.25" customHeight="1" x14ac:dyDescent="0.2">
      <c r="B32" s="690"/>
      <c r="C32" s="771"/>
      <c r="D32" s="698" t="s">
        <v>170</v>
      </c>
      <c r="E32" s="667"/>
      <c r="F32" s="667"/>
      <c r="G32" s="667"/>
      <c r="H32" s="667"/>
      <c r="I32" s="667"/>
      <c r="J32" s="667"/>
      <c r="K32" s="667"/>
      <c r="L32" s="667"/>
      <c r="M32" s="721"/>
      <c r="N32" s="106">
        <f t="shared" si="2"/>
        <v>46</v>
      </c>
      <c r="O32" s="747">
        <v>0</v>
      </c>
      <c r="P32" s="714"/>
      <c r="Q32" s="714"/>
      <c r="R32" s="714"/>
      <c r="S32" s="715"/>
      <c r="T32" s="740"/>
      <c r="U32" s="743"/>
      <c r="V32" s="744"/>
      <c r="W32" s="662" t="s">
        <v>169</v>
      </c>
      <c r="X32" s="662"/>
      <c r="Y32" s="662"/>
      <c r="Z32" s="662"/>
      <c r="AA32" s="662"/>
      <c r="AB32" s="662"/>
      <c r="AC32" s="662"/>
      <c r="AD32" s="662"/>
      <c r="AE32" s="662"/>
      <c r="AF32" s="662"/>
      <c r="AG32" s="101">
        <v>86</v>
      </c>
      <c r="AH32" s="684">
        <v>0</v>
      </c>
      <c r="AI32" s="684"/>
      <c r="AJ32" s="684"/>
      <c r="AK32" s="684"/>
      <c r="AL32" s="684"/>
      <c r="AM32" s="685"/>
      <c r="AO32" s="103"/>
      <c r="AP32" s="70"/>
      <c r="AW32" s="93">
        <f t="shared" si="0"/>
        <v>0</v>
      </c>
      <c r="AX32" s="93">
        <f t="shared" si="1"/>
        <v>0</v>
      </c>
    </row>
    <row r="33" spans="2:50" ht="17.25" customHeight="1" x14ac:dyDescent="0.2">
      <c r="B33" s="690"/>
      <c r="C33" s="771"/>
      <c r="D33" s="707" t="s">
        <v>168</v>
      </c>
      <c r="E33" s="708"/>
      <c r="F33" s="708"/>
      <c r="G33" s="708"/>
      <c r="H33" s="708"/>
      <c r="I33" s="708"/>
      <c r="J33" s="708"/>
      <c r="K33" s="708"/>
      <c r="L33" s="708"/>
      <c r="M33" s="709"/>
      <c r="N33" s="133">
        <f t="shared" si="2"/>
        <v>47</v>
      </c>
      <c r="O33" s="655">
        <v>0</v>
      </c>
      <c r="P33" s="655"/>
      <c r="Q33" s="655"/>
      <c r="R33" s="655"/>
      <c r="S33" s="655"/>
      <c r="T33" s="740"/>
      <c r="U33" s="743"/>
      <c r="V33" s="744"/>
      <c r="W33" s="653" t="s">
        <v>167</v>
      </c>
      <c r="X33" s="653"/>
      <c r="Y33" s="653"/>
      <c r="Z33" s="653"/>
      <c r="AA33" s="653"/>
      <c r="AB33" s="653"/>
      <c r="AC33" s="653"/>
      <c r="AD33" s="653"/>
      <c r="AE33" s="653"/>
      <c r="AF33" s="653"/>
      <c r="AG33" s="107">
        <v>87</v>
      </c>
      <c r="AH33" s="696">
        <v>0</v>
      </c>
      <c r="AI33" s="696"/>
      <c r="AJ33" s="696"/>
      <c r="AK33" s="696"/>
      <c r="AL33" s="696"/>
      <c r="AM33" s="697"/>
      <c r="AO33" s="70"/>
      <c r="AP33" s="70"/>
      <c r="AW33" s="93">
        <f t="shared" si="0"/>
        <v>0</v>
      </c>
      <c r="AX33" s="93">
        <f t="shared" si="1"/>
        <v>0</v>
      </c>
    </row>
    <row r="34" spans="2:50" ht="17.25" customHeight="1" x14ac:dyDescent="0.2">
      <c r="B34" s="690"/>
      <c r="C34" s="772"/>
      <c r="D34" s="748" t="s">
        <v>166</v>
      </c>
      <c r="E34" s="730"/>
      <c r="F34" s="730"/>
      <c r="G34" s="730"/>
      <c r="H34" s="730"/>
      <c r="I34" s="730"/>
      <c r="J34" s="730"/>
      <c r="K34" s="730"/>
      <c r="L34" s="730"/>
      <c r="M34" s="749"/>
      <c r="N34" s="111">
        <f t="shared" si="2"/>
        <v>48</v>
      </c>
      <c r="O34" s="750">
        <f>+O31-O33</f>
        <v>36524000</v>
      </c>
      <c r="P34" s="750"/>
      <c r="Q34" s="750"/>
      <c r="R34" s="750"/>
      <c r="S34" s="750"/>
      <c r="T34" s="740"/>
      <c r="U34" s="743"/>
      <c r="V34" s="744"/>
      <c r="W34" s="662" t="s">
        <v>523</v>
      </c>
      <c r="X34" s="662"/>
      <c r="Y34" s="662"/>
      <c r="Z34" s="662"/>
      <c r="AA34" s="662"/>
      <c r="AB34" s="662"/>
      <c r="AC34" s="662"/>
      <c r="AD34" s="662"/>
      <c r="AE34" s="662"/>
      <c r="AF34" s="662"/>
      <c r="AG34" s="101">
        <v>88</v>
      </c>
      <c r="AH34" s="684">
        <f>+ROUND(('22 Tarifas'!B74),-3)</f>
        <v>11160000</v>
      </c>
      <c r="AI34" s="684"/>
      <c r="AJ34" s="684"/>
      <c r="AK34" s="684"/>
      <c r="AL34" s="684"/>
      <c r="AM34" s="685"/>
      <c r="AO34" s="70"/>
      <c r="AP34" s="103"/>
      <c r="AW34" s="93">
        <f t="shared" si="0"/>
        <v>0</v>
      </c>
      <c r="AX34" s="93">
        <f t="shared" si="1"/>
        <v>0</v>
      </c>
    </row>
    <row r="35" spans="2:50" ht="17.25" customHeight="1" x14ac:dyDescent="0.2">
      <c r="B35" s="690"/>
      <c r="C35" s="722" t="s">
        <v>39</v>
      </c>
      <c r="D35" s="725" t="s">
        <v>52</v>
      </c>
      <c r="E35" s="726"/>
      <c r="F35" s="726"/>
      <c r="G35" s="726"/>
      <c r="H35" s="726"/>
      <c r="I35" s="726"/>
      <c r="J35" s="726"/>
      <c r="K35" s="726"/>
      <c r="L35" s="726"/>
      <c r="M35" s="727"/>
      <c r="N35" s="133">
        <f t="shared" si="2"/>
        <v>49</v>
      </c>
      <c r="O35" s="655">
        <f>+ROUND(('17 CG RNL'!B8),-3)</f>
        <v>597206000</v>
      </c>
      <c r="P35" s="655"/>
      <c r="Q35" s="655"/>
      <c r="R35" s="655"/>
      <c r="S35" s="656"/>
      <c r="T35" s="740"/>
      <c r="U35" s="743"/>
      <c r="V35" s="744"/>
      <c r="W35" s="728" t="s">
        <v>524</v>
      </c>
      <c r="X35" s="728"/>
      <c r="Y35" s="728"/>
      <c r="Z35" s="728"/>
      <c r="AA35" s="728"/>
      <c r="AB35" s="728"/>
      <c r="AC35" s="728"/>
      <c r="AD35" s="728"/>
      <c r="AE35" s="728"/>
      <c r="AF35" s="728"/>
      <c r="AG35" s="107">
        <v>89</v>
      </c>
      <c r="AH35" s="696">
        <f>+ROUND(('22 Tarifas'!B88),-3)</f>
        <v>24247000</v>
      </c>
      <c r="AI35" s="696"/>
      <c r="AJ35" s="696"/>
      <c r="AK35" s="696"/>
      <c r="AL35" s="696"/>
      <c r="AM35" s="697"/>
      <c r="AO35" s="70"/>
      <c r="AP35" s="70"/>
      <c r="AW35" s="93">
        <f t="shared" si="0"/>
        <v>0</v>
      </c>
      <c r="AX35" s="93">
        <f t="shared" si="1"/>
        <v>0</v>
      </c>
    </row>
    <row r="36" spans="2:50" ht="17.25" customHeight="1" x14ac:dyDescent="0.2">
      <c r="B36" s="690"/>
      <c r="C36" s="723"/>
      <c r="D36" s="661" t="s">
        <v>37</v>
      </c>
      <c r="E36" s="662"/>
      <c r="F36" s="662"/>
      <c r="G36" s="662"/>
      <c r="H36" s="662"/>
      <c r="I36" s="662"/>
      <c r="J36" s="662"/>
      <c r="K36" s="662"/>
      <c r="L36" s="662"/>
      <c r="M36" s="729"/>
      <c r="N36" s="135">
        <f t="shared" si="2"/>
        <v>50</v>
      </c>
      <c r="O36" s="664">
        <v>0</v>
      </c>
      <c r="P36" s="664"/>
      <c r="Q36" s="664"/>
      <c r="R36" s="664"/>
      <c r="S36" s="665"/>
      <c r="T36" s="740"/>
      <c r="U36" s="745"/>
      <c r="V36" s="746"/>
      <c r="W36" s="730" t="s">
        <v>165</v>
      </c>
      <c r="X36" s="730"/>
      <c r="Y36" s="730"/>
      <c r="Z36" s="730"/>
      <c r="AA36" s="730"/>
      <c r="AB36" s="730"/>
      <c r="AC36" s="730"/>
      <c r="AD36" s="730"/>
      <c r="AE36" s="730"/>
      <c r="AF36" s="730"/>
      <c r="AG36" s="110">
        <v>90</v>
      </c>
      <c r="AH36" s="731">
        <f>SUM(AH31:AM35)</f>
        <v>137342000</v>
      </c>
      <c r="AI36" s="731"/>
      <c r="AJ36" s="731"/>
      <c r="AK36" s="731"/>
      <c r="AL36" s="731"/>
      <c r="AM36" s="732"/>
      <c r="AO36" s="70"/>
      <c r="AP36" s="70"/>
      <c r="AW36" s="93">
        <f t="shared" si="0"/>
        <v>0</v>
      </c>
      <c r="AX36" s="93">
        <f t="shared" si="1"/>
        <v>0</v>
      </c>
    </row>
    <row r="37" spans="2:50" ht="17.25" customHeight="1" x14ac:dyDescent="0.2">
      <c r="B37" s="690"/>
      <c r="C37" s="723"/>
      <c r="D37" s="707" t="s">
        <v>30</v>
      </c>
      <c r="E37" s="708"/>
      <c r="F37" s="708"/>
      <c r="G37" s="708"/>
      <c r="H37" s="708"/>
      <c r="I37" s="708"/>
      <c r="J37" s="708"/>
      <c r="K37" s="708"/>
      <c r="L37" s="708"/>
      <c r="M37" s="709"/>
      <c r="N37" s="133">
        <v>51</v>
      </c>
      <c r="O37" s="655">
        <v>0</v>
      </c>
      <c r="P37" s="655"/>
      <c r="Q37" s="655"/>
      <c r="R37" s="655"/>
      <c r="S37" s="656"/>
      <c r="T37" s="740"/>
      <c r="U37" s="733" t="s">
        <v>23</v>
      </c>
      <c r="V37" s="736" t="s">
        <v>41</v>
      </c>
      <c r="W37" s="736"/>
      <c r="X37" s="736"/>
      <c r="Y37" s="736"/>
      <c r="Z37" s="736"/>
      <c r="AA37" s="736"/>
      <c r="AB37" s="736"/>
      <c r="AC37" s="736"/>
      <c r="AD37" s="736"/>
      <c r="AE37" s="736"/>
      <c r="AF37" s="736"/>
      <c r="AG37" s="142">
        <v>91</v>
      </c>
      <c r="AH37" s="737">
        <v>0</v>
      </c>
      <c r="AI37" s="737"/>
      <c r="AJ37" s="737"/>
      <c r="AK37" s="737"/>
      <c r="AL37" s="737"/>
      <c r="AM37" s="738"/>
      <c r="AO37" s="70"/>
      <c r="AP37" s="70"/>
      <c r="AW37" s="93">
        <f t="shared" si="0"/>
        <v>0</v>
      </c>
      <c r="AX37" s="93">
        <f t="shared" si="1"/>
        <v>0</v>
      </c>
    </row>
    <row r="38" spans="2:50" ht="17.25" customHeight="1" x14ac:dyDescent="0.2">
      <c r="B38" s="690"/>
      <c r="C38" s="723"/>
      <c r="D38" s="661" t="s">
        <v>34</v>
      </c>
      <c r="E38" s="662"/>
      <c r="F38" s="662"/>
      <c r="G38" s="662"/>
      <c r="H38" s="662"/>
      <c r="I38" s="662"/>
      <c r="J38" s="662"/>
      <c r="K38" s="662"/>
      <c r="L38" s="662"/>
      <c r="M38" s="729"/>
      <c r="N38" s="135">
        <f>SUM(N37+1)</f>
        <v>52</v>
      </c>
      <c r="O38" s="664">
        <f>+ROUND(('17 CG RNL'!B17),-3)</f>
        <v>309029000</v>
      </c>
      <c r="P38" s="664"/>
      <c r="Q38" s="664"/>
      <c r="R38" s="664"/>
      <c r="S38" s="665"/>
      <c r="T38" s="740"/>
      <c r="U38" s="734"/>
      <c r="V38" s="662" t="s">
        <v>42</v>
      </c>
      <c r="W38" s="662"/>
      <c r="X38" s="662"/>
      <c r="Y38" s="662"/>
      <c r="Z38" s="662"/>
      <c r="AA38" s="662"/>
      <c r="AB38" s="662"/>
      <c r="AC38" s="662"/>
      <c r="AD38" s="662"/>
      <c r="AE38" s="662"/>
      <c r="AF38" s="662"/>
      <c r="AG38" s="140">
        <v>92</v>
      </c>
      <c r="AH38" s="684">
        <v>0</v>
      </c>
      <c r="AI38" s="684"/>
      <c r="AJ38" s="684"/>
      <c r="AK38" s="684"/>
      <c r="AL38" s="684"/>
      <c r="AM38" s="685"/>
      <c r="AO38" s="70"/>
      <c r="AP38" s="70"/>
      <c r="AW38" s="93">
        <f t="shared" si="0"/>
        <v>0</v>
      </c>
      <c r="AX38" s="93">
        <f t="shared" si="1"/>
        <v>0</v>
      </c>
    </row>
    <row r="39" spans="2:50" ht="17.25" customHeight="1" x14ac:dyDescent="0.2">
      <c r="B39" s="690"/>
      <c r="C39" s="723"/>
      <c r="D39" s="704" t="s">
        <v>164</v>
      </c>
      <c r="E39" s="705"/>
      <c r="F39" s="705"/>
      <c r="G39" s="705"/>
      <c r="H39" s="705"/>
      <c r="I39" s="705"/>
      <c r="J39" s="705"/>
      <c r="K39" s="705"/>
      <c r="L39" s="705"/>
      <c r="M39" s="706"/>
      <c r="N39" s="108">
        <f>SUM(N38+1)</f>
        <v>53</v>
      </c>
      <c r="O39" s="673">
        <f>+O35-O36-O37-O38</f>
        <v>288177000</v>
      </c>
      <c r="P39" s="673"/>
      <c r="Q39" s="673"/>
      <c r="R39" s="673"/>
      <c r="S39" s="720"/>
      <c r="T39" s="740"/>
      <c r="U39" s="734"/>
      <c r="V39" s="653" t="s">
        <v>24</v>
      </c>
      <c r="W39" s="653"/>
      <c r="X39" s="653"/>
      <c r="Y39" s="653"/>
      <c r="Z39" s="653"/>
      <c r="AA39" s="653"/>
      <c r="AB39" s="653"/>
      <c r="AC39" s="653"/>
      <c r="AD39" s="653"/>
      <c r="AE39" s="653"/>
      <c r="AF39" s="653"/>
      <c r="AG39" s="137">
        <v>93</v>
      </c>
      <c r="AH39" s="718">
        <v>0</v>
      </c>
      <c r="AI39" s="718"/>
      <c r="AJ39" s="718"/>
      <c r="AK39" s="718"/>
      <c r="AL39" s="718"/>
      <c r="AM39" s="719"/>
      <c r="AO39" s="70"/>
      <c r="AP39" s="70"/>
      <c r="AW39" s="93">
        <f t="shared" si="0"/>
        <v>0</v>
      </c>
      <c r="AX39" s="93">
        <f t="shared" si="1"/>
        <v>0</v>
      </c>
    </row>
    <row r="40" spans="2:50" ht="17.25" customHeight="1" x14ac:dyDescent="0.2">
      <c r="B40" s="690"/>
      <c r="C40" s="723"/>
      <c r="D40" s="661" t="s">
        <v>54</v>
      </c>
      <c r="E40" s="662"/>
      <c r="F40" s="662"/>
      <c r="G40" s="662"/>
      <c r="H40" s="662"/>
      <c r="I40" s="662"/>
      <c r="J40" s="662"/>
      <c r="K40" s="662"/>
      <c r="L40" s="662"/>
      <c r="M40" s="729"/>
      <c r="N40" s="135">
        <f>SUM(N39+1)</f>
        <v>54</v>
      </c>
      <c r="O40" s="664">
        <v>0</v>
      </c>
      <c r="P40" s="664"/>
      <c r="Q40" s="664"/>
      <c r="R40" s="664"/>
      <c r="S40" s="665"/>
      <c r="T40" s="740"/>
      <c r="U40" s="735"/>
      <c r="V40" s="751" t="s">
        <v>163</v>
      </c>
      <c r="W40" s="752"/>
      <c r="X40" s="752"/>
      <c r="Y40" s="752"/>
      <c r="Z40" s="752"/>
      <c r="AA40" s="752"/>
      <c r="AB40" s="752"/>
      <c r="AC40" s="752"/>
      <c r="AD40" s="752"/>
      <c r="AE40" s="752"/>
      <c r="AF40" s="753"/>
      <c r="AG40" s="110">
        <v>94</v>
      </c>
      <c r="AH40" s="754">
        <v>0</v>
      </c>
      <c r="AI40" s="754"/>
      <c r="AJ40" s="754"/>
      <c r="AK40" s="754"/>
      <c r="AL40" s="754"/>
      <c r="AM40" s="755"/>
      <c r="AO40" s="70"/>
      <c r="AP40" s="70"/>
      <c r="AW40" s="93">
        <f t="shared" si="0"/>
        <v>0</v>
      </c>
      <c r="AX40" s="93">
        <f t="shared" si="1"/>
        <v>0</v>
      </c>
    </row>
    <row r="41" spans="2:50" ht="17.25" customHeight="1" x14ac:dyDescent="0.2">
      <c r="B41" s="690"/>
      <c r="C41" s="723"/>
      <c r="D41" s="707" t="s">
        <v>38</v>
      </c>
      <c r="E41" s="708"/>
      <c r="F41" s="708"/>
      <c r="G41" s="708"/>
      <c r="H41" s="708"/>
      <c r="I41" s="708"/>
      <c r="J41" s="708"/>
      <c r="K41" s="708"/>
      <c r="L41" s="708"/>
      <c r="M41" s="709"/>
      <c r="N41" s="136">
        <v>55</v>
      </c>
      <c r="O41" s="655">
        <v>0</v>
      </c>
      <c r="P41" s="655"/>
      <c r="Q41" s="655"/>
      <c r="R41" s="655"/>
      <c r="S41" s="656"/>
      <c r="T41" s="740"/>
      <c r="U41" s="710" t="s">
        <v>162</v>
      </c>
      <c r="V41" s="711"/>
      <c r="W41" s="711"/>
      <c r="X41" s="711"/>
      <c r="Y41" s="711"/>
      <c r="Z41" s="711"/>
      <c r="AA41" s="711"/>
      <c r="AB41" s="711"/>
      <c r="AC41" s="711"/>
      <c r="AD41" s="711"/>
      <c r="AE41" s="711"/>
      <c r="AF41" s="711"/>
      <c r="AG41" s="109">
        <v>95</v>
      </c>
      <c r="AH41" s="712">
        <f>+AH36-AH40</f>
        <v>137342000</v>
      </c>
      <c r="AI41" s="712"/>
      <c r="AJ41" s="712"/>
      <c r="AK41" s="712"/>
      <c r="AL41" s="712"/>
      <c r="AM41" s="713"/>
      <c r="AO41" s="70">
        <f>+O27+O20</f>
        <v>104824000</v>
      </c>
      <c r="AP41" s="70"/>
      <c r="AW41" s="93">
        <f t="shared" si="0"/>
        <v>0</v>
      </c>
      <c r="AX41" s="93">
        <f t="shared" si="1"/>
        <v>0</v>
      </c>
    </row>
    <row r="42" spans="2:50" ht="17.25" customHeight="1" x14ac:dyDescent="0.2">
      <c r="B42" s="690"/>
      <c r="C42" s="723"/>
      <c r="D42" s="698" t="s">
        <v>161</v>
      </c>
      <c r="E42" s="667"/>
      <c r="F42" s="667"/>
      <c r="G42" s="667"/>
      <c r="H42" s="667"/>
      <c r="I42" s="667"/>
      <c r="J42" s="667"/>
      <c r="K42" s="667"/>
      <c r="L42" s="667"/>
      <c r="M42" s="721"/>
      <c r="N42" s="106">
        <f>SUM(N41+1)</f>
        <v>56</v>
      </c>
      <c r="O42" s="714">
        <v>0</v>
      </c>
      <c r="P42" s="714"/>
      <c r="Q42" s="714"/>
      <c r="R42" s="714"/>
      <c r="S42" s="715"/>
      <c r="T42" s="740"/>
      <c r="U42" s="683" t="s">
        <v>28</v>
      </c>
      <c r="V42" s="662"/>
      <c r="W42" s="662"/>
      <c r="X42" s="662"/>
      <c r="Y42" s="662"/>
      <c r="Z42" s="662"/>
      <c r="AA42" s="662"/>
      <c r="AB42" s="662"/>
      <c r="AC42" s="662"/>
      <c r="AD42" s="662"/>
      <c r="AE42" s="662"/>
      <c r="AF42" s="662"/>
      <c r="AG42" s="101">
        <v>96</v>
      </c>
      <c r="AH42" s="684">
        <f>+ROUND(('21 GO'!E15),-3)</f>
        <v>0</v>
      </c>
      <c r="AI42" s="684"/>
      <c r="AJ42" s="684"/>
      <c r="AK42" s="684"/>
      <c r="AL42" s="684"/>
      <c r="AM42" s="685"/>
      <c r="AO42" s="103"/>
      <c r="AP42" s="70"/>
      <c r="AW42" s="93">
        <f t="shared" si="0"/>
        <v>0</v>
      </c>
      <c r="AX42" s="93">
        <f t="shared" si="1"/>
        <v>0</v>
      </c>
    </row>
    <row r="43" spans="2:50" ht="17.25" customHeight="1" x14ac:dyDescent="0.2">
      <c r="B43" s="690"/>
      <c r="C43" s="723"/>
      <c r="D43" s="704" t="s">
        <v>160</v>
      </c>
      <c r="E43" s="705"/>
      <c r="F43" s="705"/>
      <c r="G43" s="705"/>
      <c r="H43" s="705"/>
      <c r="I43" s="705"/>
      <c r="J43" s="705"/>
      <c r="K43" s="705"/>
      <c r="L43" s="705"/>
      <c r="M43" s="706"/>
      <c r="N43" s="108">
        <f>SUM(N42+1)</f>
        <v>57</v>
      </c>
      <c r="O43" s="673">
        <f>+O39</f>
        <v>288177000</v>
      </c>
      <c r="P43" s="673"/>
      <c r="Q43" s="673"/>
      <c r="R43" s="673"/>
      <c r="S43" s="720"/>
      <c r="T43" s="740"/>
      <c r="U43" s="695" t="s">
        <v>43</v>
      </c>
      <c r="V43" s="653"/>
      <c r="W43" s="653"/>
      <c r="X43" s="653"/>
      <c r="Y43" s="653"/>
      <c r="Z43" s="653"/>
      <c r="AA43" s="653"/>
      <c r="AB43" s="653"/>
      <c r="AC43" s="653"/>
      <c r="AD43" s="653"/>
      <c r="AE43" s="653"/>
      <c r="AF43" s="653"/>
      <c r="AG43" s="107">
        <v>97</v>
      </c>
      <c r="AH43" s="696">
        <v>0</v>
      </c>
      <c r="AI43" s="696"/>
      <c r="AJ43" s="696"/>
      <c r="AK43" s="696"/>
      <c r="AL43" s="696"/>
      <c r="AM43" s="697"/>
      <c r="AO43" s="70"/>
      <c r="AP43" s="70"/>
      <c r="AW43" s="93">
        <f t="shared" si="0"/>
        <v>0</v>
      </c>
      <c r="AX43" s="93">
        <f t="shared" si="1"/>
        <v>0</v>
      </c>
    </row>
    <row r="44" spans="2:50" ht="17.25" customHeight="1" x14ac:dyDescent="0.2">
      <c r="B44" s="690"/>
      <c r="C44" s="723"/>
      <c r="D44" s="698" t="s">
        <v>159</v>
      </c>
      <c r="E44" s="667"/>
      <c r="F44" s="667"/>
      <c r="G44" s="667"/>
      <c r="H44" s="667"/>
      <c r="I44" s="667"/>
      <c r="J44" s="667"/>
      <c r="K44" s="667"/>
      <c r="L44" s="667"/>
      <c r="M44" s="721"/>
      <c r="N44" s="106">
        <f>SUM(N43+1)</f>
        <v>58</v>
      </c>
      <c r="O44" s="714">
        <v>0</v>
      </c>
      <c r="P44" s="714"/>
      <c r="Q44" s="714"/>
      <c r="R44" s="714"/>
      <c r="S44" s="715"/>
      <c r="T44" s="740"/>
      <c r="U44" s="666" t="s">
        <v>158</v>
      </c>
      <c r="V44" s="667"/>
      <c r="W44" s="667"/>
      <c r="X44" s="667"/>
      <c r="Y44" s="667"/>
      <c r="Z44" s="667"/>
      <c r="AA44" s="667"/>
      <c r="AB44" s="667"/>
      <c r="AC44" s="667"/>
      <c r="AD44" s="667"/>
      <c r="AE44" s="667"/>
      <c r="AF44" s="667"/>
      <c r="AG44" s="99">
        <v>98</v>
      </c>
      <c r="AH44" s="716">
        <f>+AH41+AH42-AH43</f>
        <v>137342000</v>
      </c>
      <c r="AI44" s="716"/>
      <c r="AJ44" s="716"/>
      <c r="AK44" s="716"/>
      <c r="AL44" s="716"/>
      <c r="AM44" s="717"/>
      <c r="AO44" s="103"/>
      <c r="AP44" s="70"/>
      <c r="AW44" s="93">
        <f t="shared" si="0"/>
        <v>0</v>
      </c>
      <c r="AX44" s="93">
        <f t="shared" si="1"/>
        <v>0</v>
      </c>
    </row>
    <row r="45" spans="2:50" ht="17.25" customHeight="1" x14ac:dyDescent="0.2">
      <c r="B45" s="690"/>
      <c r="C45" s="723"/>
      <c r="D45" s="707" t="s">
        <v>157</v>
      </c>
      <c r="E45" s="708"/>
      <c r="F45" s="708"/>
      <c r="G45" s="708"/>
      <c r="H45" s="708"/>
      <c r="I45" s="708"/>
      <c r="J45" s="708"/>
      <c r="K45" s="708"/>
      <c r="L45" s="708"/>
      <c r="M45" s="709"/>
      <c r="N45" s="133">
        <v>59</v>
      </c>
      <c r="O45" s="655">
        <v>0</v>
      </c>
      <c r="P45" s="655"/>
      <c r="Q45" s="655"/>
      <c r="R45" s="655"/>
      <c r="S45" s="656"/>
      <c r="T45" s="740"/>
      <c r="U45" s="695" t="s">
        <v>44</v>
      </c>
      <c r="V45" s="653"/>
      <c r="W45" s="653"/>
      <c r="X45" s="653"/>
      <c r="Y45" s="653"/>
      <c r="Z45" s="653"/>
      <c r="AA45" s="653"/>
      <c r="AB45" s="653"/>
      <c r="AC45" s="653"/>
      <c r="AD45" s="653"/>
      <c r="AE45" s="653"/>
      <c r="AF45" s="653"/>
      <c r="AG45" s="137">
        <v>99</v>
      </c>
      <c r="AH45" s="718">
        <v>0</v>
      </c>
      <c r="AI45" s="718"/>
      <c r="AJ45" s="718"/>
      <c r="AK45" s="718"/>
      <c r="AL45" s="718"/>
      <c r="AM45" s="719"/>
      <c r="AO45" s="70"/>
      <c r="AP45" s="70"/>
      <c r="AW45" s="93">
        <f t="shared" si="0"/>
        <v>0</v>
      </c>
      <c r="AX45" s="93">
        <f t="shared" si="1"/>
        <v>0</v>
      </c>
    </row>
    <row r="46" spans="2:50" ht="17.25" customHeight="1" x14ac:dyDescent="0.2">
      <c r="B46" s="690"/>
      <c r="C46" s="724"/>
      <c r="D46" s="678" t="s">
        <v>156</v>
      </c>
      <c r="E46" s="679"/>
      <c r="F46" s="679"/>
      <c r="G46" s="679"/>
      <c r="H46" s="679"/>
      <c r="I46" s="679"/>
      <c r="J46" s="679"/>
      <c r="K46" s="679"/>
      <c r="L46" s="679"/>
      <c r="M46" s="680"/>
      <c r="N46" s="105">
        <f>SUM(N45+1)</f>
        <v>60</v>
      </c>
      <c r="O46" s="681">
        <f>+O43</f>
        <v>288177000</v>
      </c>
      <c r="P46" s="681"/>
      <c r="Q46" s="681"/>
      <c r="R46" s="681"/>
      <c r="S46" s="682"/>
      <c r="T46" s="740"/>
      <c r="U46" s="683" t="s">
        <v>45</v>
      </c>
      <c r="V46" s="662"/>
      <c r="W46" s="662"/>
      <c r="X46" s="662"/>
      <c r="Y46" s="662"/>
      <c r="Z46" s="662"/>
      <c r="AA46" s="662"/>
      <c r="AB46" s="662"/>
      <c r="AC46" s="662"/>
      <c r="AD46" s="662"/>
      <c r="AE46" s="662"/>
      <c r="AF46" s="662"/>
      <c r="AG46" s="140">
        <v>100</v>
      </c>
      <c r="AH46" s="684">
        <v>0</v>
      </c>
      <c r="AI46" s="684"/>
      <c r="AJ46" s="684"/>
      <c r="AK46" s="684"/>
      <c r="AL46" s="684"/>
      <c r="AM46" s="685"/>
      <c r="AO46" s="70"/>
      <c r="AP46" s="70"/>
      <c r="AW46" s="93">
        <f t="shared" si="0"/>
        <v>0</v>
      </c>
      <c r="AX46" s="93">
        <f t="shared" si="1"/>
        <v>0</v>
      </c>
    </row>
    <row r="47" spans="2:50" x14ac:dyDescent="0.2">
      <c r="B47" s="690"/>
      <c r="C47" s="692" t="s">
        <v>155</v>
      </c>
      <c r="D47" s="693"/>
      <c r="E47" s="693"/>
      <c r="F47" s="693"/>
      <c r="G47" s="693"/>
      <c r="H47" s="693"/>
      <c r="I47" s="693"/>
      <c r="J47" s="693"/>
      <c r="K47" s="693"/>
      <c r="L47" s="693"/>
      <c r="M47" s="694"/>
      <c r="N47" s="104">
        <v>61</v>
      </c>
      <c r="O47" s="655">
        <f>+O27+O39+O20</f>
        <v>393001000</v>
      </c>
      <c r="P47" s="655"/>
      <c r="Q47" s="655"/>
      <c r="R47" s="655"/>
      <c r="S47" s="656"/>
      <c r="T47" s="740"/>
      <c r="U47" s="695" t="s">
        <v>46</v>
      </c>
      <c r="V47" s="653"/>
      <c r="W47" s="653"/>
      <c r="X47" s="653"/>
      <c r="Y47" s="653"/>
      <c r="Z47" s="653"/>
      <c r="AA47" s="653"/>
      <c r="AB47" s="653"/>
      <c r="AC47" s="653"/>
      <c r="AD47" s="653"/>
      <c r="AE47" s="653"/>
      <c r="AF47" s="653"/>
      <c r="AG47" s="137">
        <v>101</v>
      </c>
      <c r="AH47" s="696">
        <v>6000000</v>
      </c>
      <c r="AI47" s="696"/>
      <c r="AJ47" s="696"/>
      <c r="AK47" s="696"/>
      <c r="AL47" s="696"/>
      <c r="AM47" s="697"/>
      <c r="AO47" s="103"/>
      <c r="AP47" s="70"/>
      <c r="AW47" s="93">
        <f t="shared" si="0"/>
        <v>0</v>
      </c>
      <c r="AX47" s="93">
        <f t="shared" si="1"/>
        <v>0</v>
      </c>
    </row>
    <row r="48" spans="2:50" ht="16.5" customHeight="1" x14ac:dyDescent="0.2">
      <c r="B48" s="690"/>
      <c r="C48" s="698" t="s">
        <v>154</v>
      </c>
      <c r="D48" s="667"/>
      <c r="E48" s="667"/>
      <c r="F48" s="667"/>
      <c r="G48" s="667"/>
      <c r="H48" s="667"/>
      <c r="I48" s="667"/>
      <c r="J48" s="667"/>
      <c r="K48" s="667"/>
      <c r="L48" s="667"/>
      <c r="M48" s="699"/>
      <c r="N48" s="102">
        <v>62</v>
      </c>
      <c r="O48" s="664">
        <f>+O30+O22+O42</f>
        <v>0</v>
      </c>
      <c r="P48" s="664"/>
      <c r="Q48" s="664"/>
      <c r="R48" s="664"/>
      <c r="S48" s="665"/>
      <c r="T48" s="740"/>
      <c r="U48" s="683" t="s">
        <v>47</v>
      </c>
      <c r="V48" s="662"/>
      <c r="W48" s="662"/>
      <c r="X48" s="662"/>
      <c r="Y48" s="662"/>
      <c r="Z48" s="662"/>
      <c r="AA48" s="662"/>
      <c r="AB48" s="662"/>
      <c r="AC48" s="662"/>
      <c r="AD48" s="662"/>
      <c r="AE48" s="662"/>
      <c r="AF48" s="662"/>
      <c r="AG48" s="140">
        <v>102</v>
      </c>
      <c r="AH48" s="700">
        <f>+ROUND(('24 Anticipo'!C20),-3)</f>
        <v>66567000</v>
      </c>
      <c r="AI48" s="700"/>
      <c r="AJ48" s="700"/>
      <c r="AK48" s="700"/>
      <c r="AL48" s="700"/>
      <c r="AM48" s="701"/>
      <c r="AO48" s="70"/>
      <c r="AP48" s="70"/>
      <c r="AW48" s="93">
        <f t="shared" si="0"/>
        <v>0</v>
      </c>
      <c r="AX48" s="93">
        <f t="shared" si="1"/>
        <v>0</v>
      </c>
    </row>
    <row r="49" spans="2:51" ht="15.75" customHeight="1" x14ac:dyDescent="0.2">
      <c r="B49" s="690"/>
      <c r="C49" s="702" t="s">
        <v>525</v>
      </c>
      <c r="D49" s="658"/>
      <c r="E49" s="658"/>
      <c r="F49" s="658"/>
      <c r="G49" s="658"/>
      <c r="H49" s="658"/>
      <c r="I49" s="658"/>
      <c r="J49" s="658"/>
      <c r="K49" s="658"/>
      <c r="L49" s="658"/>
      <c r="M49" s="703"/>
      <c r="N49" s="98">
        <v>63</v>
      </c>
      <c r="O49" s="655">
        <f>+O47-O48</f>
        <v>393001000</v>
      </c>
      <c r="P49" s="655"/>
      <c r="Q49" s="655"/>
      <c r="R49" s="655"/>
      <c r="S49" s="656"/>
      <c r="T49" s="740"/>
      <c r="U49" s="657" t="s">
        <v>153</v>
      </c>
      <c r="V49" s="658"/>
      <c r="W49" s="658"/>
      <c r="X49" s="658"/>
      <c r="Y49" s="658"/>
      <c r="Z49" s="658"/>
      <c r="AA49" s="658"/>
      <c r="AB49" s="658"/>
      <c r="AC49" s="658"/>
      <c r="AD49" s="658"/>
      <c r="AE49" s="658"/>
      <c r="AF49" s="658"/>
      <c r="AG49" s="100">
        <v>103</v>
      </c>
      <c r="AH49" s="659">
        <f>+AH44-AH45-AH46-AH47+AH48</f>
        <v>197909000</v>
      </c>
      <c r="AI49" s="659"/>
      <c r="AJ49" s="659"/>
      <c r="AK49" s="659"/>
      <c r="AL49" s="659"/>
      <c r="AM49" s="660"/>
      <c r="AO49" s="71"/>
      <c r="AP49" s="70"/>
      <c r="AW49" s="93">
        <f t="shared" si="0"/>
        <v>0</v>
      </c>
      <c r="AX49" s="93">
        <f t="shared" si="1"/>
        <v>0</v>
      </c>
    </row>
    <row r="50" spans="2:51" ht="16.5" customHeight="1" x14ac:dyDescent="0.2">
      <c r="B50" s="690"/>
      <c r="C50" s="661" t="s">
        <v>152</v>
      </c>
      <c r="D50" s="662"/>
      <c r="E50" s="662"/>
      <c r="F50" s="662"/>
      <c r="G50" s="662"/>
      <c r="H50" s="662"/>
      <c r="I50" s="662"/>
      <c r="J50" s="662"/>
      <c r="K50" s="662"/>
      <c r="L50" s="662"/>
      <c r="M50" s="663"/>
      <c r="N50" s="143">
        <v>64</v>
      </c>
      <c r="O50" s="664">
        <v>0</v>
      </c>
      <c r="P50" s="664"/>
      <c r="Q50" s="664"/>
      <c r="R50" s="664"/>
      <c r="S50" s="665"/>
      <c r="T50" s="740"/>
      <c r="U50" s="683" t="s">
        <v>6</v>
      </c>
      <c r="V50" s="662"/>
      <c r="W50" s="662"/>
      <c r="X50" s="662"/>
      <c r="Y50" s="662"/>
      <c r="Z50" s="662"/>
      <c r="AA50" s="662"/>
      <c r="AB50" s="662"/>
      <c r="AC50" s="662"/>
      <c r="AD50" s="662"/>
      <c r="AE50" s="662"/>
      <c r="AF50" s="662"/>
      <c r="AG50" s="101">
        <v>104</v>
      </c>
      <c r="AH50" s="700">
        <v>0</v>
      </c>
      <c r="AI50" s="700"/>
      <c r="AJ50" s="700"/>
      <c r="AK50" s="700"/>
      <c r="AL50" s="700"/>
      <c r="AM50" s="701"/>
      <c r="AO50" s="71"/>
      <c r="AP50" s="70"/>
      <c r="AW50" s="93">
        <f t="shared" si="0"/>
        <v>0</v>
      </c>
      <c r="AX50" s="93">
        <f t="shared" si="1"/>
        <v>0</v>
      </c>
    </row>
    <row r="51" spans="2:51" ht="16.5" customHeight="1" x14ac:dyDescent="0.2">
      <c r="B51" s="690"/>
      <c r="C51" s="652" t="s">
        <v>151</v>
      </c>
      <c r="D51" s="653"/>
      <c r="E51" s="653"/>
      <c r="F51" s="653"/>
      <c r="G51" s="653"/>
      <c r="H51" s="653"/>
      <c r="I51" s="653"/>
      <c r="J51" s="653"/>
      <c r="K51" s="653"/>
      <c r="L51" s="653"/>
      <c r="M51" s="654"/>
      <c r="N51" s="144">
        <v>65</v>
      </c>
      <c r="O51" s="655">
        <v>0</v>
      </c>
      <c r="P51" s="655"/>
      <c r="Q51" s="655"/>
      <c r="R51" s="655"/>
      <c r="S51" s="656"/>
      <c r="T51" s="740"/>
      <c r="U51" s="657" t="s">
        <v>150</v>
      </c>
      <c r="V51" s="658"/>
      <c r="W51" s="658"/>
      <c r="X51" s="658"/>
      <c r="Y51" s="658"/>
      <c r="Z51" s="658"/>
      <c r="AA51" s="658"/>
      <c r="AB51" s="658"/>
      <c r="AC51" s="658"/>
      <c r="AD51" s="658"/>
      <c r="AE51" s="658"/>
      <c r="AF51" s="658"/>
      <c r="AG51" s="100">
        <v>105</v>
      </c>
      <c r="AH51" s="659">
        <f>+AH49+AH50</f>
        <v>197909000</v>
      </c>
      <c r="AI51" s="659"/>
      <c r="AJ51" s="659"/>
      <c r="AK51" s="659"/>
      <c r="AL51" s="659"/>
      <c r="AM51" s="660"/>
      <c r="AO51" s="71"/>
      <c r="AP51" s="70"/>
      <c r="AW51" s="93">
        <f t="shared" si="0"/>
        <v>0</v>
      </c>
      <c r="AX51" s="93">
        <f t="shared" si="1"/>
        <v>0</v>
      </c>
    </row>
    <row r="52" spans="2:51" ht="16.5" customHeight="1" x14ac:dyDescent="0.2">
      <c r="B52" s="690"/>
      <c r="C52" s="661" t="s">
        <v>149</v>
      </c>
      <c r="D52" s="662"/>
      <c r="E52" s="662"/>
      <c r="F52" s="662"/>
      <c r="G52" s="662"/>
      <c r="H52" s="662"/>
      <c r="I52" s="662"/>
      <c r="J52" s="662"/>
      <c r="K52" s="662"/>
      <c r="L52" s="662"/>
      <c r="M52" s="663"/>
      <c r="N52" s="143">
        <v>66</v>
      </c>
      <c r="O52" s="664">
        <v>0</v>
      </c>
      <c r="P52" s="664"/>
      <c r="Q52" s="664"/>
      <c r="R52" s="664"/>
      <c r="S52" s="665"/>
      <c r="T52" s="740"/>
      <c r="U52" s="666" t="s">
        <v>148</v>
      </c>
      <c r="V52" s="667"/>
      <c r="W52" s="667"/>
      <c r="X52" s="667"/>
      <c r="Y52" s="667"/>
      <c r="Z52" s="667"/>
      <c r="AA52" s="667"/>
      <c r="AB52" s="667"/>
      <c r="AC52" s="667"/>
      <c r="AD52" s="667"/>
      <c r="AE52" s="667"/>
      <c r="AF52" s="667"/>
      <c r="AG52" s="99">
        <v>106</v>
      </c>
      <c r="AH52" s="668">
        <v>0</v>
      </c>
      <c r="AI52" s="668"/>
      <c r="AJ52" s="668"/>
      <c r="AK52" s="668"/>
      <c r="AL52" s="668"/>
      <c r="AM52" s="669"/>
      <c r="AO52" s="71"/>
      <c r="AP52" s="70"/>
      <c r="AW52" s="93">
        <f t="shared" si="0"/>
        <v>0</v>
      </c>
      <c r="AX52" s="93">
        <f t="shared" si="1"/>
        <v>0</v>
      </c>
    </row>
    <row r="53" spans="2:51" ht="16.5" customHeight="1" x14ac:dyDescent="0.2">
      <c r="B53" s="691"/>
      <c r="C53" s="670" t="s">
        <v>147</v>
      </c>
      <c r="D53" s="671"/>
      <c r="E53" s="671"/>
      <c r="F53" s="671"/>
      <c r="G53" s="671"/>
      <c r="H53" s="671"/>
      <c r="I53" s="671"/>
      <c r="J53" s="671"/>
      <c r="K53" s="671"/>
      <c r="L53" s="671"/>
      <c r="M53" s="672"/>
      <c r="N53" s="98">
        <v>67</v>
      </c>
      <c r="O53" s="673">
        <f>+O49-O50-O51+O52</f>
        <v>393001000</v>
      </c>
      <c r="P53" s="673"/>
      <c r="Q53" s="673"/>
      <c r="R53" s="673"/>
      <c r="S53" s="673"/>
      <c r="T53" s="674" t="s">
        <v>146</v>
      </c>
      <c r="U53" s="675"/>
      <c r="V53" s="675"/>
      <c r="W53" s="675"/>
      <c r="X53" s="675"/>
      <c r="Y53" s="675"/>
      <c r="Z53" s="675"/>
      <c r="AA53" s="676"/>
      <c r="AB53" s="676"/>
      <c r="AC53" s="676"/>
      <c r="AD53" s="676"/>
      <c r="AE53" s="677" t="s">
        <v>144</v>
      </c>
      <c r="AF53" s="677"/>
      <c r="AG53" s="677"/>
      <c r="AH53" s="677"/>
      <c r="AI53" s="677"/>
      <c r="AJ53" s="97" t="s">
        <v>145</v>
      </c>
      <c r="AK53" s="96" t="s">
        <v>144</v>
      </c>
      <c r="AL53" s="95"/>
      <c r="AM53" s="94"/>
      <c r="AO53" s="71"/>
      <c r="AP53" s="70"/>
      <c r="AW53" s="93">
        <f t="shared" si="0"/>
        <v>0</v>
      </c>
      <c r="AX53" s="93"/>
    </row>
    <row r="54" spans="2:51" x14ac:dyDescent="0.2">
      <c r="B54" s="640" t="s">
        <v>10</v>
      </c>
      <c r="C54" s="641"/>
      <c r="D54" s="641"/>
      <c r="E54" s="641"/>
      <c r="F54" s="641"/>
      <c r="G54" s="92"/>
      <c r="H54" s="92"/>
      <c r="I54" s="91"/>
      <c r="J54" s="91"/>
      <c r="K54" s="91"/>
      <c r="L54" s="91"/>
      <c r="M54" s="91"/>
      <c r="N54" s="91"/>
      <c r="O54" s="686" t="s">
        <v>143</v>
      </c>
      <c r="P54" s="687"/>
      <c r="Q54" s="687"/>
      <c r="R54" s="687"/>
      <c r="S54" s="687"/>
      <c r="T54" s="687"/>
      <c r="U54" s="687"/>
      <c r="V54" s="687"/>
      <c r="W54" s="687"/>
      <c r="X54" s="687"/>
      <c r="Y54" s="687"/>
      <c r="Z54" s="688"/>
      <c r="AA54" s="145"/>
      <c r="AB54" s="90" t="s">
        <v>22</v>
      </c>
      <c r="AC54" s="89"/>
      <c r="AD54" s="89"/>
      <c r="AE54" s="89"/>
      <c r="AF54" s="89"/>
      <c r="AG54" s="89"/>
      <c r="AH54" s="89"/>
      <c r="AI54" s="89"/>
      <c r="AJ54" s="89"/>
      <c r="AK54" s="89"/>
      <c r="AL54" s="89"/>
      <c r="AM54" s="88"/>
      <c r="AO54" s="71"/>
      <c r="AP54" s="70"/>
      <c r="AW54" s="87" t="e">
        <f>SUM(AW14:AW53)</f>
        <v>#REF!</v>
      </c>
      <c r="AX54" s="87">
        <f>SUM(AX14:AX53)</f>
        <v>0</v>
      </c>
      <c r="AY54" s="86" t="e">
        <f>+AW54+AX54</f>
        <v>#REF!</v>
      </c>
    </row>
    <row r="55" spans="2:51" x14ac:dyDescent="0.2">
      <c r="B55" s="637"/>
      <c r="C55" s="638"/>
      <c r="D55" s="638"/>
      <c r="E55" s="638"/>
      <c r="F55" s="638"/>
      <c r="G55" s="146"/>
      <c r="H55" s="146"/>
      <c r="I55" s="85"/>
      <c r="J55" s="85"/>
      <c r="K55" s="85"/>
      <c r="L55" s="85"/>
      <c r="M55" s="84"/>
      <c r="N55" s="147"/>
      <c r="O55" s="148"/>
      <c r="P55" s="149"/>
      <c r="Q55" s="149"/>
      <c r="R55" s="149"/>
      <c r="S55" s="149"/>
      <c r="T55" s="83"/>
      <c r="U55" s="76"/>
      <c r="V55" s="76"/>
      <c r="W55" s="76"/>
      <c r="X55" s="76"/>
      <c r="Y55" s="76"/>
      <c r="Z55" s="72"/>
      <c r="AA55" s="150"/>
      <c r="AB55" s="150"/>
      <c r="AC55" s="82"/>
      <c r="AD55" s="82"/>
      <c r="AE55" s="82"/>
      <c r="AF55" s="82"/>
      <c r="AG55" s="639">
        <f>+AH51</f>
        <v>197909000</v>
      </c>
      <c r="AH55" s="639"/>
      <c r="AI55" s="639"/>
      <c r="AJ55" s="639"/>
      <c r="AK55" s="639"/>
      <c r="AL55" s="639"/>
      <c r="AM55" s="81"/>
      <c r="AO55" s="71"/>
      <c r="AP55" s="70"/>
    </row>
    <row r="56" spans="2:51" x14ac:dyDescent="0.2">
      <c r="B56" s="640" t="s">
        <v>19</v>
      </c>
      <c r="C56" s="641"/>
      <c r="D56" s="641"/>
      <c r="E56" s="641"/>
      <c r="F56" s="641"/>
      <c r="G56" s="641"/>
      <c r="H56" s="641"/>
      <c r="I56" s="641"/>
      <c r="J56" s="641"/>
      <c r="K56" s="641"/>
      <c r="L56" s="641"/>
      <c r="M56" s="80"/>
      <c r="N56" s="80"/>
      <c r="O56" s="79"/>
      <c r="P56" s="76"/>
      <c r="Q56" s="76"/>
      <c r="R56" s="76"/>
      <c r="S56" s="76"/>
      <c r="T56" s="149"/>
      <c r="U56" s="66"/>
      <c r="V56" s="66"/>
      <c r="W56" s="66"/>
      <c r="X56" s="66"/>
      <c r="Y56" s="66"/>
      <c r="Z56" s="75"/>
      <c r="AA56" s="151"/>
      <c r="AB56" s="151"/>
      <c r="AC56" s="151"/>
      <c r="AD56" s="151"/>
      <c r="AE56" s="151"/>
      <c r="AF56" s="151"/>
      <c r="AG56" s="151"/>
      <c r="AH56" s="151"/>
      <c r="AI56" s="151"/>
      <c r="AJ56" s="151"/>
      <c r="AK56" s="151"/>
      <c r="AL56" s="151"/>
      <c r="AM56" s="152"/>
      <c r="AO56" s="71"/>
      <c r="AP56" s="70"/>
    </row>
    <row r="57" spans="2:51" x14ac:dyDescent="0.2">
      <c r="B57" s="637"/>
      <c r="C57" s="638"/>
      <c r="D57" s="638"/>
      <c r="E57" s="638"/>
      <c r="F57" s="638"/>
      <c r="G57" s="638"/>
      <c r="H57" s="638"/>
      <c r="I57" s="78"/>
      <c r="J57" s="78"/>
      <c r="K57" s="150"/>
      <c r="L57" s="150"/>
      <c r="M57" s="150"/>
      <c r="N57" s="77"/>
      <c r="O57" s="73"/>
      <c r="P57" s="66"/>
      <c r="Q57" s="66"/>
      <c r="R57" s="66"/>
      <c r="S57" s="66"/>
      <c r="T57" s="76"/>
      <c r="U57" s="66"/>
      <c r="V57" s="66"/>
      <c r="W57" s="66"/>
      <c r="X57" s="66"/>
      <c r="Y57" s="66"/>
      <c r="Z57" s="75"/>
      <c r="AA57" s="642" t="s">
        <v>26</v>
      </c>
      <c r="AB57" s="642"/>
      <c r="AC57" s="642"/>
      <c r="AD57" s="642"/>
      <c r="AE57" s="642"/>
      <c r="AF57" s="642"/>
      <c r="AG57" s="642"/>
      <c r="AH57" s="642"/>
      <c r="AI57" s="642"/>
      <c r="AJ57" s="642"/>
      <c r="AK57" s="642"/>
      <c r="AL57" s="642"/>
      <c r="AM57" s="153"/>
      <c r="AO57" s="71"/>
      <c r="AP57" s="70"/>
    </row>
    <row r="58" spans="2:51" x14ac:dyDescent="0.2">
      <c r="B58" s="643"/>
      <c r="C58" s="644"/>
      <c r="D58" s="644"/>
      <c r="E58" s="644"/>
      <c r="F58" s="644"/>
      <c r="G58" s="151"/>
      <c r="H58" s="151"/>
      <c r="I58" s="151"/>
      <c r="J58" s="151"/>
      <c r="K58" s="151"/>
      <c r="L58" s="151"/>
      <c r="M58" s="151"/>
      <c r="N58" s="74"/>
      <c r="O58" s="73"/>
      <c r="P58" s="66"/>
      <c r="Q58" s="66"/>
      <c r="R58" s="66"/>
      <c r="S58" s="66"/>
      <c r="T58" s="66"/>
      <c r="U58" s="60"/>
      <c r="V58" s="60"/>
      <c r="W58" s="60"/>
      <c r="X58" s="60"/>
      <c r="Y58" s="60"/>
      <c r="Z58" s="72"/>
      <c r="AA58" s="153"/>
      <c r="AB58" s="153"/>
      <c r="AC58" s="153"/>
      <c r="AD58" s="153"/>
      <c r="AE58" s="153"/>
      <c r="AF58" s="153"/>
      <c r="AG58" s="153"/>
      <c r="AH58" s="153"/>
      <c r="AI58" s="153"/>
      <c r="AJ58" s="153"/>
      <c r="AK58" s="153"/>
      <c r="AL58" s="153"/>
      <c r="AM58" s="153"/>
      <c r="AO58" s="71"/>
      <c r="AP58" s="70"/>
    </row>
    <row r="59" spans="2:51" ht="15" x14ac:dyDescent="0.2">
      <c r="B59" s="640" t="s">
        <v>142</v>
      </c>
      <c r="C59" s="641"/>
      <c r="D59" s="641"/>
      <c r="E59" s="641"/>
      <c r="F59" s="641"/>
      <c r="G59" s="69"/>
      <c r="H59" s="154"/>
      <c r="I59" s="154"/>
      <c r="J59" s="154"/>
      <c r="K59" s="154"/>
      <c r="L59" s="154"/>
      <c r="M59" s="154"/>
      <c r="N59" s="68"/>
      <c r="O59" s="67"/>
      <c r="P59" s="60"/>
      <c r="Q59" s="60"/>
      <c r="R59" s="60"/>
      <c r="S59" s="60"/>
      <c r="T59" s="66"/>
      <c r="U59" s="61"/>
      <c r="V59" s="61"/>
      <c r="W59" s="61"/>
      <c r="X59" s="61"/>
      <c r="Y59" s="61"/>
      <c r="Z59" s="65"/>
      <c r="AA59" s="645"/>
      <c r="AB59" s="646"/>
      <c r="AC59" s="646"/>
      <c r="AD59" s="646"/>
      <c r="AE59" s="646"/>
      <c r="AF59" s="646"/>
      <c r="AG59" s="646"/>
      <c r="AH59" s="646"/>
      <c r="AI59" s="646"/>
      <c r="AJ59" s="646"/>
      <c r="AK59" s="646"/>
      <c r="AL59" s="646"/>
      <c r="AM59" s="646"/>
      <c r="AO59" s="59"/>
      <c r="AP59" s="58"/>
    </row>
    <row r="60" spans="2:51" ht="15" x14ac:dyDescent="0.2">
      <c r="B60" s="640" t="s">
        <v>141</v>
      </c>
      <c r="C60" s="641"/>
      <c r="D60" s="641"/>
      <c r="E60" s="641"/>
      <c r="F60" s="641"/>
      <c r="G60" s="647" t="s">
        <v>140</v>
      </c>
      <c r="H60" s="647"/>
      <c r="I60" s="647"/>
      <c r="J60" s="647"/>
      <c r="K60" s="647"/>
      <c r="L60" s="647"/>
      <c r="M60" s="64"/>
      <c r="N60" s="63"/>
      <c r="O60" s="62"/>
      <c r="P60" s="61"/>
      <c r="Q60" s="61"/>
      <c r="R60" s="61"/>
      <c r="S60" s="61"/>
      <c r="T60" s="60"/>
      <c r="Z60" s="155"/>
      <c r="AA60" s="645"/>
      <c r="AB60" s="646"/>
      <c r="AC60" s="646"/>
      <c r="AD60" s="646"/>
      <c r="AE60" s="646"/>
      <c r="AF60" s="646"/>
      <c r="AG60" s="646"/>
      <c r="AH60" s="646"/>
      <c r="AI60" s="646"/>
      <c r="AJ60" s="646"/>
      <c r="AK60" s="646"/>
      <c r="AL60" s="646"/>
      <c r="AM60" s="646"/>
      <c r="AO60" s="59"/>
      <c r="AP60" s="58"/>
    </row>
    <row r="61" spans="2:51" x14ac:dyDescent="0.2">
      <c r="B61" s="648" t="s">
        <v>139</v>
      </c>
      <c r="C61" s="649"/>
      <c r="D61" s="649"/>
      <c r="E61" s="649"/>
      <c r="F61" s="649"/>
      <c r="G61" s="156"/>
      <c r="H61" s="156"/>
      <c r="I61" s="156"/>
      <c r="J61" s="650"/>
      <c r="K61" s="651"/>
      <c r="L61" s="651"/>
      <c r="M61" s="651"/>
      <c r="N61" s="651"/>
      <c r="O61" s="157"/>
      <c r="P61" s="128"/>
      <c r="Q61" s="128"/>
      <c r="R61" s="128"/>
      <c r="S61" s="128"/>
      <c r="T61" s="57"/>
      <c r="U61" s="128"/>
      <c r="V61" s="128"/>
      <c r="W61" s="128"/>
      <c r="X61" s="128"/>
      <c r="Y61" s="128"/>
      <c r="Z61" s="158"/>
      <c r="AA61" s="645"/>
      <c r="AB61" s="646"/>
      <c r="AC61" s="646"/>
      <c r="AD61" s="646"/>
      <c r="AE61" s="646"/>
      <c r="AF61" s="646"/>
      <c r="AG61" s="646"/>
      <c r="AH61" s="646"/>
      <c r="AI61" s="646"/>
      <c r="AJ61" s="646"/>
      <c r="AK61" s="646"/>
      <c r="AL61" s="646"/>
      <c r="AM61" s="646"/>
      <c r="AO61" s="54"/>
      <c r="AP61" s="54"/>
    </row>
    <row r="62" spans="2:51" x14ac:dyDescent="0.2">
      <c r="AA62" s="56"/>
      <c r="AB62" s="55"/>
      <c r="AC62" s="55"/>
      <c r="AD62" s="55"/>
      <c r="AE62" s="55"/>
      <c r="AF62" s="55"/>
      <c r="AG62" s="55"/>
      <c r="AH62" s="55"/>
      <c r="AI62" s="55"/>
      <c r="AJ62" s="55"/>
      <c r="AK62" s="55"/>
      <c r="AL62" s="55"/>
      <c r="AM62" s="55"/>
      <c r="AO62" s="54"/>
      <c r="AP62" s="54"/>
    </row>
  </sheetData>
  <mergeCells count="212">
    <mergeCell ref="B2:G4"/>
    <mergeCell ref="H2:Y4"/>
    <mergeCell ref="Z2:AG4"/>
    <mergeCell ref="AH2:AM4"/>
    <mergeCell ref="B5:C5"/>
    <mergeCell ref="D5:G5"/>
    <mergeCell ref="S5:AM10"/>
    <mergeCell ref="B6:R10"/>
    <mergeCell ref="N13:P13"/>
    <mergeCell ref="Q13:U13"/>
    <mergeCell ref="AL11:AM11"/>
    <mergeCell ref="C12:O12"/>
    <mergeCell ref="Q12:U12"/>
    <mergeCell ref="V12:Z12"/>
    <mergeCell ref="AA12:AE12"/>
    <mergeCell ref="AF12:AK12"/>
    <mergeCell ref="AL12:AM12"/>
    <mergeCell ref="V13:AA13"/>
    <mergeCell ref="AC13:AL13"/>
    <mergeCell ref="B11:B13"/>
    <mergeCell ref="C11:N11"/>
    <mergeCell ref="Q11:U11"/>
    <mergeCell ref="V11:Z11"/>
    <mergeCell ref="AA11:AE11"/>
    <mergeCell ref="B14:B16"/>
    <mergeCell ref="C14:M14"/>
    <mergeCell ref="O14:S14"/>
    <mergeCell ref="T14:AF14"/>
    <mergeCell ref="AH14:AM14"/>
    <mergeCell ref="C15:M15"/>
    <mergeCell ref="O15:S15"/>
    <mergeCell ref="T15:T19"/>
    <mergeCell ref="U15:AF15"/>
    <mergeCell ref="AH15:AM15"/>
    <mergeCell ref="C16:M16"/>
    <mergeCell ref="O16:S16"/>
    <mergeCell ref="U16:AF16"/>
    <mergeCell ref="AH16:AM16"/>
    <mergeCell ref="AF11:AK11"/>
    <mergeCell ref="C13:E13"/>
    <mergeCell ref="G13:J13"/>
    <mergeCell ref="D19:M19"/>
    <mergeCell ref="O19:S19"/>
    <mergeCell ref="U19:AF19"/>
    <mergeCell ref="AH19:AM19"/>
    <mergeCell ref="D20:M20"/>
    <mergeCell ref="O20:S20"/>
    <mergeCell ref="T20:T26"/>
    <mergeCell ref="U20:AF20"/>
    <mergeCell ref="AH20:AM20"/>
    <mergeCell ref="D21:M21"/>
    <mergeCell ref="D24:M24"/>
    <mergeCell ref="O24:S24"/>
    <mergeCell ref="U24:AF24"/>
    <mergeCell ref="AH24:AM24"/>
    <mergeCell ref="D25:M25"/>
    <mergeCell ref="O25:S25"/>
    <mergeCell ref="U25:AF25"/>
    <mergeCell ref="AH25:AM25"/>
    <mergeCell ref="D26:M26"/>
    <mergeCell ref="O26:S26"/>
    <mergeCell ref="U26:AF26"/>
    <mergeCell ref="AH26:AM26"/>
    <mergeCell ref="D23:M23"/>
    <mergeCell ref="O23:S23"/>
    <mergeCell ref="U23:AF23"/>
    <mergeCell ref="AH23:AM23"/>
    <mergeCell ref="C17:C23"/>
    <mergeCell ref="D17:M17"/>
    <mergeCell ref="O17:S17"/>
    <mergeCell ref="U17:AF17"/>
    <mergeCell ref="AH17:AM17"/>
    <mergeCell ref="D18:M18"/>
    <mergeCell ref="O18:S18"/>
    <mergeCell ref="U18:AF18"/>
    <mergeCell ref="AH18:AM18"/>
    <mergeCell ref="O21:S21"/>
    <mergeCell ref="U21:AF21"/>
    <mergeCell ref="AH21:AM21"/>
    <mergeCell ref="D22:M22"/>
    <mergeCell ref="O22:S22"/>
    <mergeCell ref="U22:AF22"/>
    <mergeCell ref="AH22:AM22"/>
    <mergeCell ref="C24:C34"/>
    <mergeCell ref="D27:M27"/>
    <mergeCell ref="O27:S27"/>
    <mergeCell ref="T27:T30"/>
    <mergeCell ref="U27:AF27"/>
    <mergeCell ref="AH27:AM27"/>
    <mergeCell ref="D28:M28"/>
    <mergeCell ref="O28:S28"/>
    <mergeCell ref="U28:AF28"/>
    <mergeCell ref="AH28:AM28"/>
    <mergeCell ref="D29:M29"/>
    <mergeCell ref="O29:S29"/>
    <mergeCell ref="U29:AF29"/>
    <mergeCell ref="AH29:AM29"/>
    <mergeCell ref="D30:M30"/>
    <mergeCell ref="O30:S30"/>
    <mergeCell ref="U30:AF30"/>
    <mergeCell ref="AH30:AM30"/>
    <mergeCell ref="D31:M31"/>
    <mergeCell ref="O31:S31"/>
    <mergeCell ref="T31:T52"/>
    <mergeCell ref="U31:V36"/>
    <mergeCell ref="W31:AF31"/>
    <mergeCell ref="AH31:AM31"/>
    <mergeCell ref="D32:M32"/>
    <mergeCell ref="O32:S32"/>
    <mergeCell ref="W32:AF32"/>
    <mergeCell ref="AH32:AM32"/>
    <mergeCell ref="D33:M33"/>
    <mergeCell ref="O33:S33"/>
    <mergeCell ref="W33:AF33"/>
    <mergeCell ref="AH33:AM33"/>
    <mergeCell ref="D34:M34"/>
    <mergeCell ref="O34:S34"/>
    <mergeCell ref="W34:AF34"/>
    <mergeCell ref="AH34:AM34"/>
    <mergeCell ref="V39:AF39"/>
    <mergeCell ref="AH39:AM39"/>
    <mergeCell ref="D40:M40"/>
    <mergeCell ref="O40:S40"/>
    <mergeCell ref="V40:AF40"/>
    <mergeCell ref="AH40:AM40"/>
    <mergeCell ref="C35:C46"/>
    <mergeCell ref="D35:M35"/>
    <mergeCell ref="O35:S35"/>
    <mergeCell ref="W35:AF35"/>
    <mergeCell ref="AH35:AM35"/>
    <mergeCell ref="D36:M36"/>
    <mergeCell ref="O36:S36"/>
    <mergeCell ref="W36:AF36"/>
    <mergeCell ref="AH36:AM36"/>
    <mergeCell ref="D37:M37"/>
    <mergeCell ref="D42:M42"/>
    <mergeCell ref="O42:S42"/>
    <mergeCell ref="U42:AF42"/>
    <mergeCell ref="AH42:AM42"/>
    <mergeCell ref="O37:S37"/>
    <mergeCell ref="U37:U40"/>
    <mergeCell ref="V37:AF37"/>
    <mergeCell ref="AH37:AM37"/>
    <mergeCell ref="D38:M38"/>
    <mergeCell ref="O38:S38"/>
    <mergeCell ref="V38:AF38"/>
    <mergeCell ref="AH38:AM38"/>
    <mergeCell ref="D39:M39"/>
    <mergeCell ref="O39:S39"/>
    <mergeCell ref="D41:M41"/>
    <mergeCell ref="O41:S41"/>
    <mergeCell ref="U41:AF41"/>
    <mergeCell ref="AH41:AM41"/>
    <mergeCell ref="O44:S44"/>
    <mergeCell ref="U44:AF44"/>
    <mergeCell ref="AH44:AM44"/>
    <mergeCell ref="D45:M45"/>
    <mergeCell ref="O45:S45"/>
    <mergeCell ref="U45:AF45"/>
    <mergeCell ref="AH45:AM45"/>
    <mergeCell ref="O43:S43"/>
    <mergeCell ref="U43:AF43"/>
    <mergeCell ref="AH43:AM43"/>
    <mergeCell ref="D44:M44"/>
    <mergeCell ref="D46:M46"/>
    <mergeCell ref="O46:S46"/>
    <mergeCell ref="U46:AF46"/>
    <mergeCell ref="AH46:AM46"/>
    <mergeCell ref="B54:F54"/>
    <mergeCell ref="O54:Z54"/>
    <mergeCell ref="B17:B53"/>
    <mergeCell ref="C47:M47"/>
    <mergeCell ref="O47:S47"/>
    <mergeCell ref="U47:AF47"/>
    <mergeCell ref="AH47:AM47"/>
    <mergeCell ref="C48:M48"/>
    <mergeCell ref="O48:S48"/>
    <mergeCell ref="U48:AF48"/>
    <mergeCell ref="AH48:AM48"/>
    <mergeCell ref="C49:M49"/>
    <mergeCell ref="O49:S49"/>
    <mergeCell ref="U49:AF49"/>
    <mergeCell ref="AH49:AM49"/>
    <mergeCell ref="C50:M50"/>
    <mergeCell ref="O50:S50"/>
    <mergeCell ref="U50:AF50"/>
    <mergeCell ref="AH50:AM50"/>
    <mergeCell ref="D43:M43"/>
    <mergeCell ref="C51:M51"/>
    <mergeCell ref="O51:S51"/>
    <mergeCell ref="U51:AF51"/>
    <mergeCell ref="AH51:AM51"/>
    <mergeCell ref="C52:M52"/>
    <mergeCell ref="O52:S52"/>
    <mergeCell ref="U52:AF52"/>
    <mergeCell ref="AH52:AM52"/>
    <mergeCell ref="C53:M53"/>
    <mergeCell ref="O53:S53"/>
    <mergeCell ref="T53:AD53"/>
    <mergeCell ref="AE53:AI53"/>
    <mergeCell ref="B55:F55"/>
    <mergeCell ref="AG55:AL55"/>
    <mergeCell ref="B56:L56"/>
    <mergeCell ref="B57:H57"/>
    <mergeCell ref="AA57:AL57"/>
    <mergeCell ref="B58:F58"/>
    <mergeCell ref="B59:F59"/>
    <mergeCell ref="AA59:AM61"/>
    <mergeCell ref="B60:F60"/>
    <mergeCell ref="G60:L60"/>
    <mergeCell ref="B61:F61"/>
    <mergeCell ref="J61:N61"/>
  </mergeCells>
  <conditionalFormatting sqref="O14:S18 O20:S46 O53:S53 O47:O52 AH14:AM14 AH20:AM52">
    <cfRule type="cellIs" dxfId="13" priority="7" operator="lessThan">
      <formula>0</formula>
    </cfRule>
  </conditionalFormatting>
  <conditionalFormatting sqref="O19:S19">
    <cfRule type="cellIs" dxfId="12" priority="6" operator="lessThan">
      <formula>0</formula>
    </cfRule>
  </conditionalFormatting>
  <conditionalFormatting sqref="AH15:AM15">
    <cfRule type="cellIs" dxfId="11" priority="5" operator="lessThan">
      <formula>0</formula>
    </cfRule>
  </conditionalFormatting>
  <conditionalFormatting sqref="AH16:AM16">
    <cfRule type="cellIs" dxfId="10" priority="4" operator="lessThan">
      <formula>0</formula>
    </cfRule>
  </conditionalFormatting>
  <conditionalFormatting sqref="AH17:AM17">
    <cfRule type="cellIs" dxfId="9" priority="3" operator="lessThan">
      <formula>0</formula>
    </cfRule>
  </conditionalFormatting>
  <conditionalFormatting sqref="AH18:AM18">
    <cfRule type="cellIs" dxfId="8" priority="2" operator="lessThan">
      <formula>0</formula>
    </cfRule>
  </conditionalFormatting>
  <conditionalFormatting sqref="AH19:AM19">
    <cfRule type="cellIs" dxfId="7" priority="1" operator="lessThan">
      <formula>0</formula>
    </cfRule>
  </conditionalFormatting>
  <hyperlinks>
    <hyperlink ref="N17" location="INGRESOS!A3" tooltip="Ir" display="INGRESOS!A3" xr:uid="{F9D5A440-9711-49DB-8D03-4EF44BE6003B}"/>
    <hyperlink ref="N18" location="INCRNGO!A3" tooltip="Ir" display="INCRNGO!A3" xr:uid="{BD4A81DC-A3FC-4A80-AEEC-1D098140730C}"/>
    <hyperlink ref="N19" location="'C. Y G'!A3" tooltip="Ir" display="'C. Y G'!A3" xr:uid="{F5BA07EB-CF91-4DCA-8200-138713AA124B}"/>
    <hyperlink ref="N21" location="CD!A62" tooltip="Ir" display="CD!A62" xr:uid="{DE990469-BECF-4EFE-AB53-BD792EB0C8EA}"/>
    <hyperlink ref="N22" location="CD!B76" display="CD!B76" xr:uid="{04B94564-6F37-4A80-9006-AFDD3D1FD363}"/>
    <hyperlink ref="N24" location="INGRESOS!B228" tooltip="Ir" display="INGRESOS!B228" xr:uid="{937A82AE-AED8-4210-A075-D42926642020}"/>
    <hyperlink ref="N25" location="INCRNGO!A3" tooltip="Ir" display="INCRNGO!A3" xr:uid="{DF000D2A-F6DE-4C76-A70C-1CFBC0AA0408}"/>
    <hyperlink ref="N26" location="'C. Y G'!A109" tooltip="Ir" display="'C. Y G'!A109" xr:uid="{D0415507-D7FC-4423-B4E7-B812B0648EF3}"/>
    <hyperlink ref="N28" location="ECE!A3" tooltip="Ir" display="ECE!A3" xr:uid="{22E85D8E-C371-4BC0-BBAA-69FE5192A7B0}"/>
    <hyperlink ref="N29" location="CD!A62" tooltip="Ir" display="CD!A62" xr:uid="{C27F84B6-EF23-4EEC-BE9A-DB8538449B97}"/>
    <hyperlink ref="N33" location="COMP!A3" tooltip="Ir" display="COMP!A3" xr:uid="{1FA2CE9E-541F-48AA-8BD4-84FD10AA1DAE}"/>
    <hyperlink ref="N35" location="INGRESOS!B350" tooltip="Ir" display="INGRESOS!B350" xr:uid="{91E9730E-6AB4-4B22-BE57-7EB5B4063FD9}"/>
    <hyperlink ref="N36" location="INGRESOS!C525" tooltip="Ir" display="INGRESOS!C525" xr:uid="{FDF9725E-BE83-49D9-807D-AC5822E4C213}"/>
    <hyperlink ref="N37" location="INCRNGO!A3" tooltip="Ir" display="INCRNGO!A3" xr:uid="{0B235A75-277D-4D65-9B49-E1B3EB789EEC}"/>
    <hyperlink ref="N38" location="'C. Y G'!A174" tooltip="Ir" display="'C. Y G'!A174" xr:uid="{A7E0F6C5-F68C-4839-A74C-2557F1652795}"/>
    <hyperlink ref="N40" location="ECE!A41" tooltip="Ir" display="ECE!A41" xr:uid="{C6AB5A2A-9F8C-4203-AF53-80F882909F93}"/>
    <hyperlink ref="N41" location="CD!A62" tooltip="Ir" display="CD!A62" xr:uid="{6C05D570-EE5B-4945-9969-C54AA234F8A1}"/>
    <hyperlink ref="N45" location="COMP!A3" tooltip="Ir" display="COMP!A3" xr:uid="{8C3DD18E-AE1F-4106-BBD5-1F1F6CD21C8D}"/>
    <hyperlink ref="N50" location="COMP!A26" tooltip="Ir" display="COMP!A26" xr:uid="{22AB795B-5FCE-47B0-B3AA-937DA04B27EE}"/>
    <hyperlink ref="N51" location="COMP!A26" tooltip="Ir" display="COMP!A26" xr:uid="{158C5657-1AFF-4D20-A4E4-31FACA21FFDC}"/>
    <hyperlink ref="N52" location="RLG!A3" tooltip="Ir" display="RLG!A3" xr:uid="{14D4B540-78D9-4E3F-AF32-CE4F78F79197}"/>
    <hyperlink ref="AG14" location="'R. PRES'!A3" tooltip="Ir" display="'R. PRES'!A3" xr:uid="{D9F85EA6-CB32-4479-9734-147460156BCA}"/>
    <hyperlink ref="AG15" location="INGRESOS!B228" tooltip="Ir" display="INGRESOS!B228" xr:uid="{D1B8BC29-4AD5-49BA-B2FD-B08FB14F61D3}"/>
    <hyperlink ref="AG16" location="INCRNGO!A3" tooltip="Ir" display="INCRNGO!A3" xr:uid="{E8EDA68E-3043-4F9D-9C7F-18781F9A3CFE}"/>
    <hyperlink ref="AG18" location="'R EXENTA'!E11" tooltip="Ir" display="'R EXENTA'!E11" xr:uid="{0F0FBB8A-F872-41CE-AA44-FEF03FC022DC}"/>
    <hyperlink ref="AG20" location="INGRESOS!B637" tooltip="Ir" display="INGRESOS!B637" xr:uid="{0F6CA052-9A1F-4FE1-BCF1-92ECB05C5E8C}"/>
    <hyperlink ref="AG21" location="INCRNGO!I187" tooltip="Ir" display="INCRNGO!I187" xr:uid="{30A73B73-39DE-4578-B212-0D00DE1AC68A}"/>
    <hyperlink ref="AG23" location="INGRESOS!B637" tooltip="Ir" display="INGRESOS!B637" xr:uid="{2283DF24-7DB5-44F1-8288-D9EEC29DF185}"/>
    <hyperlink ref="AG24" location="INGRESOS!C677" tooltip="Ir" display="INGRESOS!C677" xr:uid="{04421969-75D2-4880-A749-854EEEF82247}"/>
    <hyperlink ref="AG25" location="INGRESOS!D751" tooltip="Ir" display="INGRESOS!D751" xr:uid="{5B9E747C-764D-40E2-83A0-26915C4057D8}"/>
    <hyperlink ref="AG26" location="INGRESOS!A756" tooltip="Ir" display="INGRESOS!A756" xr:uid="{A4DCB35D-FCF8-4087-9834-F487966B826E}"/>
    <hyperlink ref="AG27:AG30" location="'G. OCAS'!A3" tooltip="Ir" display="'G. OCAS'!A3" xr:uid="{8017FB70-56E5-4BD8-B60B-9ABBB5A50633}"/>
    <hyperlink ref="AG37:AG39" location="DESC!A3" tooltip="Ir" display="DESC!A3" xr:uid="{600FFBB3-A098-4DAB-94F1-B1E16209B1D8}"/>
    <hyperlink ref="AG46" location="DG!C31" tooltip="Ir" display="DG!C31" xr:uid="{A8E45677-B238-43FD-BD5A-D01BDC1B1360}"/>
    <hyperlink ref="AG47" location="Rte!A3" tooltip="Ir" display="Rte!A3" xr:uid="{746F7532-7534-4FD7-B9A7-893E4DFF7884}"/>
    <hyperlink ref="AG48" location="ANT!A3" tooltip="Ir" display="ANT!A3" xr:uid="{08355D28-901D-446D-BA75-D60279D78891}"/>
    <hyperlink ref="AG45" location="DG!C30" tooltip="Ir" display="DG!C30" xr:uid="{A0F26180-CC4C-44B4-AA77-02F72137E7FD}"/>
    <hyperlink ref="N14" location="PATR!A5" tooltip="Ir" display="PATR!A5" xr:uid="{17D3A424-CA1A-4645-B1A8-E996D39BA25A}"/>
    <hyperlink ref="N15" location="PASIVO!A5" tooltip="Ir" display="PASIVO!A5" xr:uid="{F4F0C386-079D-4F99-A3CB-5E60CDF24EEA}"/>
  </hyperlinks>
  <pageMargins left="0.31496062992125984" right="0.31496062992125984" top="0.35433070866141736" bottom="0.35433070866141736" header="0.31496062992125984" footer="0.31496062992125984"/>
  <pageSetup scale="80" orientation="portrait" horizontalDpi="360" verticalDpi="36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14A82-86E2-46F2-9B58-1B51D82D1329}">
  <dimension ref="A1:CQ59"/>
  <sheetViews>
    <sheetView topLeftCell="C38" zoomScale="140" zoomScaleNormal="140" workbookViewId="0">
      <selection activeCell="C45" sqref="C45:L45"/>
    </sheetView>
  </sheetViews>
  <sheetFormatPr baseColWidth="10" defaultRowHeight="13.5" customHeight="1" x14ac:dyDescent="0.2"/>
  <cols>
    <col min="1" max="1" width="1.7109375" style="381" customWidth="1"/>
    <col min="2" max="2" width="3.5703125" style="129" customWidth="1"/>
    <col min="3" max="3" width="3.28515625" style="129" customWidth="1"/>
    <col min="4" max="4" width="4.28515625" style="129" customWidth="1"/>
    <col min="5" max="5" width="3.85546875" style="129" customWidth="1"/>
    <col min="6" max="6" width="2.7109375" style="129" customWidth="1"/>
    <col min="7" max="8" width="2.85546875" style="129" customWidth="1"/>
    <col min="9" max="9" width="3.28515625" style="129" customWidth="1"/>
    <col min="10" max="10" width="3.5703125" style="129" customWidth="1"/>
    <col min="11" max="11" width="4.140625" style="129" customWidth="1"/>
    <col min="12" max="12" width="2.7109375" style="129" customWidth="1"/>
    <col min="13" max="13" width="3.28515625" style="129" customWidth="1"/>
    <col min="14" max="14" width="2.85546875" style="129" customWidth="1"/>
    <col min="15" max="15" width="3.85546875" style="129" customWidth="1"/>
    <col min="16" max="16" width="3" style="129" customWidth="1"/>
    <col min="17" max="17" width="3.5703125" style="129" customWidth="1"/>
    <col min="18" max="21" width="3" style="129" customWidth="1"/>
    <col min="22" max="22" width="2.7109375" style="129" customWidth="1"/>
    <col min="23" max="24" width="3" style="129" customWidth="1"/>
    <col min="25" max="25" width="4.140625" style="129" customWidth="1"/>
    <col min="26" max="26" width="4.28515625" style="129" customWidth="1"/>
    <col min="27" max="27" width="3.28515625" style="129" customWidth="1"/>
    <col min="28" max="28" width="4.140625" style="129" customWidth="1"/>
    <col min="29" max="30" width="3" style="129" customWidth="1"/>
    <col min="31" max="31" width="2.140625" style="129" customWidth="1"/>
    <col min="32" max="32" width="3" style="129" customWidth="1"/>
    <col min="33" max="33" width="3.5703125" style="129" customWidth="1"/>
    <col min="34" max="34" width="3" style="129" customWidth="1"/>
    <col min="35" max="35" width="4.140625" style="129" customWidth="1"/>
    <col min="36" max="36" width="4" style="129" customWidth="1"/>
    <col min="37" max="38" width="3" style="129" customWidth="1"/>
    <col min="39" max="39" width="3.85546875" style="129" customWidth="1"/>
    <col min="40" max="40" width="4.7109375" style="129" customWidth="1"/>
    <col min="41" max="41" width="3" style="129" customWidth="1"/>
    <col min="42" max="42" width="3.42578125" style="381" customWidth="1"/>
    <col min="43" max="43" width="15.7109375" style="385" hidden="1" customWidth="1"/>
    <col min="44" max="44" width="2.85546875" style="385" hidden="1" customWidth="1"/>
    <col min="45" max="45" width="1.85546875" style="385" hidden="1" customWidth="1"/>
    <col min="46" max="46" width="3.140625" style="385" hidden="1" customWidth="1"/>
    <col min="47" max="47" width="8.42578125" style="385" hidden="1" customWidth="1"/>
    <col min="48" max="48" width="3.5703125" style="385" hidden="1" customWidth="1"/>
    <col min="49" max="49" width="3.7109375" style="385" hidden="1" customWidth="1"/>
    <col min="50" max="50" width="1.28515625" style="385" hidden="1" customWidth="1"/>
    <col min="51" max="51" width="1.85546875" style="385" hidden="1" customWidth="1"/>
    <col min="52" max="52" width="3.42578125" style="385" hidden="1" customWidth="1"/>
    <col min="53" max="53" width="4" style="385" hidden="1" customWidth="1"/>
    <col min="54" max="54" width="2.7109375" style="385" hidden="1" customWidth="1"/>
    <col min="55" max="55" width="3.42578125" style="385" hidden="1" customWidth="1"/>
    <col min="56" max="56" width="3.7109375" style="385" hidden="1" customWidth="1"/>
    <col min="57" max="57" width="4" style="385" hidden="1" customWidth="1"/>
    <col min="58" max="58" width="2.7109375" style="385" hidden="1" customWidth="1"/>
    <col min="59" max="59" width="5.140625" style="385" hidden="1" customWidth="1"/>
    <col min="60" max="60" width="2.7109375" style="385" hidden="1" customWidth="1"/>
    <col min="61" max="62" width="3.7109375" style="385" hidden="1" customWidth="1"/>
    <col min="63" max="63" width="1.42578125" style="385" hidden="1" customWidth="1"/>
    <col min="64" max="65" width="2.85546875" style="385" hidden="1" customWidth="1"/>
    <col min="66" max="66" width="4" style="385" hidden="1" customWidth="1"/>
    <col min="67" max="67" width="3.28515625" style="385" hidden="1" customWidth="1"/>
    <col min="68" max="68" width="3.140625" style="385" hidden="1" customWidth="1"/>
    <col min="69" max="71" width="3.28515625" style="385" hidden="1" customWidth="1"/>
    <col min="72" max="72" width="5" style="385" hidden="1" customWidth="1"/>
    <col min="73" max="73" width="3.140625" style="385" hidden="1" customWidth="1"/>
    <col min="74" max="74" width="4.28515625" style="385" hidden="1" customWidth="1"/>
    <col min="75" max="76" width="2.85546875" style="385" hidden="1" customWidth="1"/>
    <col min="77" max="77" width="5.140625" style="385" hidden="1" customWidth="1"/>
    <col min="78" max="78" width="3.42578125" style="385" hidden="1" customWidth="1"/>
    <col min="79" max="79" width="2.7109375" style="385" hidden="1" customWidth="1"/>
    <col min="80" max="80" width="2.28515625" style="385" hidden="1" customWidth="1"/>
    <col min="81" max="81" width="4.28515625" style="385" hidden="1" customWidth="1"/>
    <col min="82" max="82" width="17.140625" style="53" customWidth="1"/>
    <col min="83" max="83" width="11.42578125" style="53"/>
    <col min="84" max="89" width="11.42578125" style="129"/>
    <col min="90" max="92" width="12.5703125" style="129" hidden="1" customWidth="1"/>
    <col min="93" max="95" width="0" style="129" hidden="1" customWidth="1"/>
    <col min="96" max="298" width="11.42578125" style="129"/>
    <col min="299" max="299" width="1.42578125" style="129" customWidth="1"/>
    <col min="300" max="300" width="4.28515625" style="129" customWidth="1"/>
    <col min="301" max="301" width="2.85546875" style="129" customWidth="1"/>
    <col min="302" max="302" width="3.42578125" style="129" customWidth="1"/>
    <col min="303" max="303" width="3.140625" style="129" customWidth="1"/>
    <col min="304" max="304" width="3.42578125" style="129" customWidth="1"/>
    <col min="305" max="305" width="3.5703125" style="129" customWidth="1"/>
    <col min="306" max="306" width="3.7109375" style="129" customWidth="1"/>
    <col min="307" max="307" width="3.140625" style="129" customWidth="1"/>
    <col min="308" max="308" width="3.28515625" style="129" customWidth="1"/>
    <col min="309" max="311" width="3.42578125" style="129" customWidth="1"/>
    <col min="312" max="312" width="3" style="129" customWidth="1"/>
    <col min="313" max="313" width="2.7109375" style="129" customWidth="1"/>
    <col min="314" max="314" width="2.85546875" style="129" customWidth="1"/>
    <col min="315" max="315" width="2.7109375" style="129" customWidth="1"/>
    <col min="316" max="316" width="3.85546875" style="129" customWidth="1"/>
    <col min="317" max="317" width="2.7109375" style="129" customWidth="1"/>
    <col min="318" max="318" width="3.7109375" style="129" customWidth="1"/>
    <col min="319" max="319" width="2.7109375" style="129" customWidth="1"/>
    <col min="320" max="320" width="3" style="129" customWidth="1"/>
    <col min="321" max="323" width="2.85546875" style="129" customWidth="1"/>
    <col min="324" max="324" width="3.28515625" style="129" customWidth="1"/>
    <col min="325" max="325" width="3.140625" style="129" customWidth="1"/>
    <col min="326" max="328" width="3.28515625" style="129" customWidth="1"/>
    <col min="329" max="329" width="3" style="129" customWidth="1"/>
    <col min="330" max="330" width="3.140625" style="129" customWidth="1"/>
    <col min="331" max="331" width="3.5703125" style="129" customWidth="1"/>
    <col min="332" max="333" width="2.85546875" style="129" customWidth="1"/>
    <col min="334" max="334" width="3.42578125" style="129" customWidth="1"/>
    <col min="335" max="335" width="2.7109375" style="129" customWidth="1"/>
    <col min="336" max="336" width="2.28515625" style="129" customWidth="1"/>
    <col min="337" max="554" width="11.42578125" style="129"/>
    <col min="555" max="555" width="1.42578125" style="129" customWidth="1"/>
    <col min="556" max="556" width="4.28515625" style="129" customWidth="1"/>
    <col min="557" max="557" width="2.85546875" style="129" customWidth="1"/>
    <col min="558" max="558" width="3.42578125" style="129" customWidth="1"/>
    <col min="559" max="559" width="3.140625" style="129" customWidth="1"/>
    <col min="560" max="560" width="3.42578125" style="129" customWidth="1"/>
    <col min="561" max="561" width="3.5703125" style="129" customWidth="1"/>
    <col min="562" max="562" width="3.7109375" style="129" customWidth="1"/>
    <col min="563" max="563" width="3.140625" style="129" customWidth="1"/>
    <col min="564" max="564" width="3.28515625" style="129" customWidth="1"/>
    <col min="565" max="567" width="3.42578125" style="129" customWidth="1"/>
    <col min="568" max="568" width="3" style="129" customWidth="1"/>
    <col min="569" max="569" width="2.7109375" style="129" customWidth="1"/>
    <col min="570" max="570" width="2.85546875" style="129" customWidth="1"/>
    <col min="571" max="571" width="2.7109375" style="129" customWidth="1"/>
    <col min="572" max="572" width="3.85546875" style="129" customWidth="1"/>
    <col min="573" max="573" width="2.7109375" style="129" customWidth="1"/>
    <col min="574" max="574" width="3.7109375" style="129" customWidth="1"/>
    <col min="575" max="575" width="2.7109375" style="129" customWidth="1"/>
    <col min="576" max="576" width="3" style="129" customWidth="1"/>
    <col min="577" max="579" width="2.85546875" style="129" customWidth="1"/>
    <col min="580" max="580" width="3.28515625" style="129" customWidth="1"/>
    <col min="581" max="581" width="3.140625" style="129" customWidth="1"/>
    <col min="582" max="584" width="3.28515625" style="129" customWidth="1"/>
    <col min="585" max="585" width="3" style="129" customWidth="1"/>
    <col min="586" max="586" width="3.140625" style="129" customWidth="1"/>
    <col min="587" max="587" width="3.5703125" style="129" customWidth="1"/>
    <col min="588" max="589" width="2.85546875" style="129" customWidth="1"/>
    <col min="590" max="590" width="3.42578125" style="129" customWidth="1"/>
    <col min="591" max="591" width="2.7109375" style="129" customWidth="1"/>
    <col min="592" max="592" width="2.28515625" style="129" customWidth="1"/>
    <col min="593" max="810" width="11.42578125" style="129"/>
    <col min="811" max="811" width="1.42578125" style="129" customWidth="1"/>
    <col min="812" max="812" width="4.28515625" style="129" customWidth="1"/>
    <col min="813" max="813" width="2.85546875" style="129" customWidth="1"/>
    <col min="814" max="814" width="3.42578125" style="129" customWidth="1"/>
    <col min="815" max="815" width="3.140625" style="129" customWidth="1"/>
    <col min="816" max="816" width="3.42578125" style="129" customWidth="1"/>
    <col min="817" max="817" width="3.5703125" style="129" customWidth="1"/>
    <col min="818" max="818" width="3.7109375" style="129" customWidth="1"/>
    <col min="819" max="819" width="3.140625" style="129" customWidth="1"/>
    <col min="820" max="820" width="3.28515625" style="129" customWidth="1"/>
    <col min="821" max="823" width="3.42578125" style="129" customWidth="1"/>
    <col min="824" max="824" width="3" style="129" customWidth="1"/>
    <col min="825" max="825" width="2.7109375" style="129" customWidth="1"/>
    <col min="826" max="826" width="2.85546875" style="129" customWidth="1"/>
    <col min="827" max="827" width="2.7109375" style="129" customWidth="1"/>
    <col min="828" max="828" width="3.85546875" style="129" customWidth="1"/>
    <col min="829" max="829" width="2.7109375" style="129" customWidth="1"/>
    <col min="830" max="830" width="3.7109375" style="129" customWidth="1"/>
    <col min="831" max="831" width="2.7109375" style="129" customWidth="1"/>
    <col min="832" max="832" width="3" style="129" customWidth="1"/>
    <col min="833" max="835" width="2.85546875" style="129" customWidth="1"/>
    <col min="836" max="836" width="3.28515625" style="129" customWidth="1"/>
    <col min="837" max="837" width="3.140625" style="129" customWidth="1"/>
    <col min="838" max="840" width="3.28515625" style="129" customWidth="1"/>
    <col min="841" max="841" width="3" style="129" customWidth="1"/>
    <col min="842" max="842" width="3.140625" style="129" customWidth="1"/>
    <col min="843" max="843" width="3.5703125" style="129" customWidth="1"/>
    <col min="844" max="845" width="2.85546875" style="129" customWidth="1"/>
    <col min="846" max="846" width="3.42578125" style="129" customWidth="1"/>
    <col min="847" max="847" width="2.7109375" style="129" customWidth="1"/>
    <col min="848" max="848" width="2.28515625" style="129" customWidth="1"/>
    <col min="849" max="1066" width="11.42578125" style="129"/>
    <col min="1067" max="1067" width="1.42578125" style="129" customWidth="1"/>
    <col min="1068" max="1068" width="4.28515625" style="129" customWidth="1"/>
    <col min="1069" max="1069" width="2.85546875" style="129" customWidth="1"/>
    <col min="1070" max="1070" width="3.42578125" style="129" customWidth="1"/>
    <col min="1071" max="1071" width="3.140625" style="129" customWidth="1"/>
    <col min="1072" max="1072" width="3.42578125" style="129" customWidth="1"/>
    <col min="1073" max="1073" width="3.5703125" style="129" customWidth="1"/>
    <col min="1074" max="1074" width="3.7109375" style="129" customWidth="1"/>
    <col min="1075" max="1075" width="3.140625" style="129" customWidth="1"/>
    <col min="1076" max="1076" width="3.28515625" style="129" customWidth="1"/>
    <col min="1077" max="1079" width="3.42578125" style="129" customWidth="1"/>
    <col min="1080" max="1080" width="3" style="129" customWidth="1"/>
    <col min="1081" max="1081" width="2.7109375" style="129" customWidth="1"/>
    <col min="1082" max="1082" width="2.85546875" style="129" customWidth="1"/>
    <col min="1083" max="1083" width="2.7109375" style="129" customWidth="1"/>
    <col min="1084" max="1084" width="3.85546875" style="129" customWidth="1"/>
    <col min="1085" max="1085" width="2.7109375" style="129" customWidth="1"/>
    <col min="1086" max="1086" width="3.7109375" style="129" customWidth="1"/>
    <col min="1087" max="1087" width="2.7109375" style="129" customWidth="1"/>
    <col min="1088" max="1088" width="3" style="129" customWidth="1"/>
    <col min="1089" max="1091" width="2.85546875" style="129" customWidth="1"/>
    <col min="1092" max="1092" width="3.28515625" style="129" customWidth="1"/>
    <col min="1093" max="1093" width="3.140625" style="129" customWidth="1"/>
    <col min="1094" max="1096" width="3.28515625" style="129" customWidth="1"/>
    <col min="1097" max="1097" width="3" style="129" customWidth="1"/>
    <col min="1098" max="1098" width="3.140625" style="129" customWidth="1"/>
    <col min="1099" max="1099" width="3.5703125" style="129" customWidth="1"/>
    <col min="1100" max="1101" width="2.85546875" style="129" customWidth="1"/>
    <col min="1102" max="1102" width="3.42578125" style="129" customWidth="1"/>
    <col min="1103" max="1103" width="2.7109375" style="129" customWidth="1"/>
    <col min="1104" max="1104" width="2.28515625" style="129" customWidth="1"/>
    <col min="1105" max="1322" width="11.42578125" style="129"/>
    <col min="1323" max="1323" width="1.42578125" style="129" customWidth="1"/>
    <col min="1324" max="1324" width="4.28515625" style="129" customWidth="1"/>
    <col min="1325" max="1325" width="2.85546875" style="129" customWidth="1"/>
    <col min="1326" max="1326" width="3.42578125" style="129" customWidth="1"/>
    <col min="1327" max="1327" width="3.140625" style="129" customWidth="1"/>
    <col min="1328" max="1328" width="3.42578125" style="129" customWidth="1"/>
    <col min="1329" max="1329" width="3.5703125" style="129" customWidth="1"/>
    <col min="1330" max="1330" width="3.7109375" style="129" customWidth="1"/>
    <col min="1331" max="1331" width="3.140625" style="129" customWidth="1"/>
    <col min="1332" max="1332" width="3.28515625" style="129" customWidth="1"/>
    <col min="1333" max="1335" width="3.42578125" style="129" customWidth="1"/>
    <col min="1336" max="1336" width="3" style="129" customWidth="1"/>
    <col min="1337" max="1337" width="2.7109375" style="129" customWidth="1"/>
    <col min="1338" max="1338" width="2.85546875" style="129" customWidth="1"/>
    <col min="1339" max="1339" width="2.7109375" style="129" customWidth="1"/>
    <col min="1340" max="1340" width="3.85546875" style="129" customWidth="1"/>
    <col min="1341" max="1341" width="2.7109375" style="129" customWidth="1"/>
    <col min="1342" max="1342" width="3.7109375" style="129" customWidth="1"/>
    <col min="1343" max="1343" width="2.7109375" style="129" customWidth="1"/>
    <col min="1344" max="1344" width="3" style="129" customWidth="1"/>
    <col min="1345" max="1347" width="2.85546875" style="129" customWidth="1"/>
    <col min="1348" max="1348" width="3.28515625" style="129" customWidth="1"/>
    <col min="1349" max="1349" width="3.140625" style="129" customWidth="1"/>
    <col min="1350" max="1352" width="3.28515625" style="129" customWidth="1"/>
    <col min="1353" max="1353" width="3" style="129" customWidth="1"/>
    <col min="1354" max="1354" width="3.140625" style="129" customWidth="1"/>
    <col min="1355" max="1355" width="3.5703125" style="129" customWidth="1"/>
    <col min="1356" max="1357" width="2.85546875" style="129" customWidth="1"/>
    <col min="1358" max="1358" width="3.42578125" style="129" customWidth="1"/>
    <col min="1359" max="1359" width="2.7109375" style="129" customWidth="1"/>
    <col min="1360" max="1360" width="2.28515625" style="129" customWidth="1"/>
    <col min="1361" max="1578" width="11.42578125" style="129"/>
    <col min="1579" max="1579" width="1.42578125" style="129" customWidth="1"/>
    <col min="1580" max="1580" width="4.28515625" style="129" customWidth="1"/>
    <col min="1581" max="1581" width="2.85546875" style="129" customWidth="1"/>
    <col min="1582" max="1582" width="3.42578125" style="129" customWidth="1"/>
    <col min="1583" max="1583" width="3.140625" style="129" customWidth="1"/>
    <col min="1584" max="1584" width="3.42578125" style="129" customWidth="1"/>
    <col min="1585" max="1585" width="3.5703125" style="129" customWidth="1"/>
    <col min="1586" max="1586" width="3.7109375" style="129" customWidth="1"/>
    <col min="1587" max="1587" width="3.140625" style="129" customWidth="1"/>
    <col min="1588" max="1588" width="3.28515625" style="129" customWidth="1"/>
    <col min="1589" max="1591" width="3.42578125" style="129" customWidth="1"/>
    <col min="1592" max="1592" width="3" style="129" customWidth="1"/>
    <col min="1593" max="1593" width="2.7109375" style="129" customWidth="1"/>
    <col min="1594" max="1594" width="2.85546875" style="129" customWidth="1"/>
    <col min="1595" max="1595" width="2.7109375" style="129" customWidth="1"/>
    <col min="1596" max="1596" width="3.85546875" style="129" customWidth="1"/>
    <col min="1597" max="1597" width="2.7109375" style="129" customWidth="1"/>
    <col min="1598" max="1598" width="3.7109375" style="129" customWidth="1"/>
    <col min="1599" max="1599" width="2.7109375" style="129" customWidth="1"/>
    <col min="1600" max="1600" width="3" style="129" customWidth="1"/>
    <col min="1601" max="1603" width="2.85546875" style="129" customWidth="1"/>
    <col min="1604" max="1604" width="3.28515625" style="129" customWidth="1"/>
    <col min="1605" max="1605" width="3.140625" style="129" customWidth="1"/>
    <col min="1606" max="1608" width="3.28515625" style="129" customWidth="1"/>
    <col min="1609" max="1609" width="3" style="129" customWidth="1"/>
    <col min="1610" max="1610" width="3.140625" style="129" customWidth="1"/>
    <col min="1611" max="1611" width="3.5703125" style="129" customWidth="1"/>
    <col min="1612" max="1613" width="2.85546875" style="129" customWidth="1"/>
    <col min="1614" max="1614" width="3.42578125" style="129" customWidth="1"/>
    <col min="1615" max="1615" width="2.7109375" style="129" customWidth="1"/>
    <col min="1616" max="1616" width="2.28515625" style="129" customWidth="1"/>
    <col min="1617" max="1834" width="11.42578125" style="129"/>
    <col min="1835" max="1835" width="1.42578125" style="129" customWidth="1"/>
    <col min="1836" max="1836" width="4.28515625" style="129" customWidth="1"/>
    <col min="1837" max="1837" width="2.85546875" style="129" customWidth="1"/>
    <col min="1838" max="1838" width="3.42578125" style="129" customWidth="1"/>
    <col min="1839" max="1839" width="3.140625" style="129" customWidth="1"/>
    <col min="1840" max="1840" width="3.42578125" style="129" customWidth="1"/>
    <col min="1841" max="1841" width="3.5703125" style="129" customWidth="1"/>
    <col min="1842" max="1842" width="3.7109375" style="129" customWidth="1"/>
    <col min="1843" max="1843" width="3.140625" style="129" customWidth="1"/>
    <col min="1844" max="1844" width="3.28515625" style="129" customWidth="1"/>
    <col min="1845" max="1847" width="3.42578125" style="129" customWidth="1"/>
    <col min="1848" max="1848" width="3" style="129" customWidth="1"/>
    <col min="1849" max="1849" width="2.7109375" style="129" customWidth="1"/>
    <col min="1850" max="1850" width="2.85546875" style="129" customWidth="1"/>
    <col min="1851" max="1851" width="2.7109375" style="129" customWidth="1"/>
    <col min="1852" max="1852" width="3.85546875" style="129" customWidth="1"/>
    <col min="1853" max="1853" width="2.7109375" style="129" customWidth="1"/>
    <col min="1854" max="1854" width="3.7109375" style="129" customWidth="1"/>
    <col min="1855" max="1855" width="2.7109375" style="129" customWidth="1"/>
    <col min="1856" max="1856" width="3" style="129" customWidth="1"/>
    <col min="1857" max="1859" width="2.85546875" style="129" customWidth="1"/>
    <col min="1860" max="1860" width="3.28515625" style="129" customWidth="1"/>
    <col min="1861" max="1861" width="3.140625" style="129" customWidth="1"/>
    <col min="1862" max="1864" width="3.28515625" style="129" customWidth="1"/>
    <col min="1865" max="1865" width="3" style="129" customWidth="1"/>
    <col min="1866" max="1866" width="3.140625" style="129" customWidth="1"/>
    <col min="1867" max="1867" width="3.5703125" style="129" customWidth="1"/>
    <col min="1868" max="1869" width="2.85546875" style="129" customWidth="1"/>
    <col min="1870" max="1870" width="3.42578125" style="129" customWidth="1"/>
    <col min="1871" max="1871" width="2.7109375" style="129" customWidth="1"/>
    <col min="1872" max="1872" width="2.28515625" style="129" customWidth="1"/>
    <col min="1873" max="2090" width="11.42578125" style="129"/>
    <col min="2091" max="2091" width="1.42578125" style="129" customWidth="1"/>
    <col min="2092" max="2092" width="4.28515625" style="129" customWidth="1"/>
    <col min="2093" max="2093" width="2.85546875" style="129" customWidth="1"/>
    <col min="2094" max="2094" width="3.42578125" style="129" customWidth="1"/>
    <col min="2095" max="2095" width="3.140625" style="129" customWidth="1"/>
    <col min="2096" max="2096" width="3.42578125" style="129" customWidth="1"/>
    <col min="2097" max="2097" width="3.5703125" style="129" customWidth="1"/>
    <col min="2098" max="2098" width="3.7109375" style="129" customWidth="1"/>
    <col min="2099" max="2099" width="3.140625" style="129" customWidth="1"/>
    <col min="2100" max="2100" width="3.28515625" style="129" customWidth="1"/>
    <col min="2101" max="2103" width="3.42578125" style="129" customWidth="1"/>
    <col min="2104" max="2104" width="3" style="129" customWidth="1"/>
    <col min="2105" max="2105" width="2.7109375" style="129" customWidth="1"/>
    <col min="2106" max="2106" width="2.85546875" style="129" customWidth="1"/>
    <col min="2107" max="2107" width="2.7109375" style="129" customWidth="1"/>
    <col min="2108" max="2108" width="3.85546875" style="129" customWidth="1"/>
    <col min="2109" max="2109" width="2.7109375" style="129" customWidth="1"/>
    <col min="2110" max="2110" width="3.7109375" style="129" customWidth="1"/>
    <col min="2111" max="2111" width="2.7109375" style="129" customWidth="1"/>
    <col min="2112" max="2112" width="3" style="129" customWidth="1"/>
    <col min="2113" max="2115" width="2.85546875" style="129" customWidth="1"/>
    <col min="2116" max="2116" width="3.28515625" style="129" customWidth="1"/>
    <col min="2117" max="2117" width="3.140625" style="129" customWidth="1"/>
    <col min="2118" max="2120" width="3.28515625" style="129" customWidth="1"/>
    <col min="2121" max="2121" width="3" style="129" customWidth="1"/>
    <col min="2122" max="2122" width="3.140625" style="129" customWidth="1"/>
    <col min="2123" max="2123" width="3.5703125" style="129" customWidth="1"/>
    <col min="2124" max="2125" width="2.85546875" style="129" customWidth="1"/>
    <col min="2126" max="2126" width="3.42578125" style="129" customWidth="1"/>
    <col min="2127" max="2127" width="2.7109375" style="129" customWidth="1"/>
    <col min="2128" max="2128" width="2.28515625" style="129" customWidth="1"/>
    <col min="2129" max="2346" width="11.42578125" style="129"/>
    <col min="2347" max="2347" width="1.42578125" style="129" customWidth="1"/>
    <col min="2348" max="2348" width="4.28515625" style="129" customWidth="1"/>
    <col min="2349" max="2349" width="2.85546875" style="129" customWidth="1"/>
    <col min="2350" max="2350" width="3.42578125" style="129" customWidth="1"/>
    <col min="2351" max="2351" width="3.140625" style="129" customWidth="1"/>
    <col min="2352" max="2352" width="3.42578125" style="129" customWidth="1"/>
    <col min="2353" max="2353" width="3.5703125" style="129" customWidth="1"/>
    <col min="2354" max="2354" width="3.7109375" style="129" customWidth="1"/>
    <col min="2355" max="2355" width="3.140625" style="129" customWidth="1"/>
    <col min="2356" max="2356" width="3.28515625" style="129" customWidth="1"/>
    <col min="2357" max="2359" width="3.42578125" style="129" customWidth="1"/>
    <col min="2360" max="2360" width="3" style="129" customWidth="1"/>
    <col min="2361" max="2361" width="2.7109375" style="129" customWidth="1"/>
    <col min="2362" max="2362" width="2.85546875" style="129" customWidth="1"/>
    <col min="2363" max="2363" width="2.7109375" style="129" customWidth="1"/>
    <col min="2364" max="2364" width="3.85546875" style="129" customWidth="1"/>
    <col min="2365" max="2365" width="2.7109375" style="129" customWidth="1"/>
    <col min="2366" max="2366" width="3.7109375" style="129" customWidth="1"/>
    <col min="2367" max="2367" width="2.7109375" style="129" customWidth="1"/>
    <col min="2368" max="2368" width="3" style="129" customWidth="1"/>
    <col min="2369" max="2371" width="2.85546875" style="129" customWidth="1"/>
    <col min="2372" max="2372" width="3.28515625" style="129" customWidth="1"/>
    <col min="2373" max="2373" width="3.140625" style="129" customWidth="1"/>
    <col min="2374" max="2376" width="3.28515625" style="129" customWidth="1"/>
    <col min="2377" max="2377" width="3" style="129" customWidth="1"/>
    <col min="2378" max="2378" width="3.140625" style="129" customWidth="1"/>
    <col min="2379" max="2379" width="3.5703125" style="129" customWidth="1"/>
    <col min="2380" max="2381" width="2.85546875" style="129" customWidth="1"/>
    <col min="2382" max="2382" width="3.42578125" style="129" customWidth="1"/>
    <col min="2383" max="2383" width="2.7109375" style="129" customWidth="1"/>
    <col min="2384" max="2384" width="2.28515625" style="129" customWidth="1"/>
    <col min="2385" max="2602" width="11.42578125" style="129"/>
    <col min="2603" max="2603" width="1.42578125" style="129" customWidth="1"/>
    <col min="2604" max="2604" width="4.28515625" style="129" customWidth="1"/>
    <col min="2605" max="2605" width="2.85546875" style="129" customWidth="1"/>
    <col min="2606" max="2606" width="3.42578125" style="129" customWidth="1"/>
    <col min="2607" max="2607" width="3.140625" style="129" customWidth="1"/>
    <col min="2608" max="2608" width="3.42578125" style="129" customWidth="1"/>
    <col min="2609" max="2609" width="3.5703125" style="129" customWidth="1"/>
    <col min="2610" max="2610" width="3.7109375" style="129" customWidth="1"/>
    <col min="2611" max="2611" width="3.140625" style="129" customWidth="1"/>
    <col min="2612" max="2612" width="3.28515625" style="129" customWidth="1"/>
    <col min="2613" max="2615" width="3.42578125" style="129" customWidth="1"/>
    <col min="2616" max="2616" width="3" style="129" customWidth="1"/>
    <col min="2617" max="2617" width="2.7109375" style="129" customWidth="1"/>
    <col min="2618" max="2618" width="2.85546875" style="129" customWidth="1"/>
    <col min="2619" max="2619" width="2.7109375" style="129" customWidth="1"/>
    <col min="2620" max="2620" width="3.85546875" style="129" customWidth="1"/>
    <col min="2621" max="2621" width="2.7109375" style="129" customWidth="1"/>
    <col min="2622" max="2622" width="3.7109375" style="129" customWidth="1"/>
    <col min="2623" max="2623" width="2.7109375" style="129" customWidth="1"/>
    <col min="2624" max="2624" width="3" style="129" customWidth="1"/>
    <col min="2625" max="2627" width="2.85546875" style="129" customWidth="1"/>
    <col min="2628" max="2628" width="3.28515625" style="129" customWidth="1"/>
    <col min="2629" max="2629" width="3.140625" style="129" customWidth="1"/>
    <col min="2630" max="2632" width="3.28515625" style="129" customWidth="1"/>
    <col min="2633" max="2633" width="3" style="129" customWidth="1"/>
    <col min="2634" max="2634" width="3.140625" style="129" customWidth="1"/>
    <col min="2635" max="2635" width="3.5703125" style="129" customWidth="1"/>
    <col min="2636" max="2637" width="2.85546875" style="129" customWidth="1"/>
    <col min="2638" max="2638" width="3.42578125" style="129" customWidth="1"/>
    <col min="2639" max="2639" width="2.7109375" style="129" customWidth="1"/>
    <col min="2640" max="2640" width="2.28515625" style="129" customWidth="1"/>
    <col min="2641" max="2858" width="11.42578125" style="129"/>
    <col min="2859" max="2859" width="1.42578125" style="129" customWidth="1"/>
    <col min="2860" max="2860" width="4.28515625" style="129" customWidth="1"/>
    <col min="2861" max="2861" width="2.85546875" style="129" customWidth="1"/>
    <col min="2862" max="2862" width="3.42578125" style="129" customWidth="1"/>
    <col min="2863" max="2863" width="3.140625" style="129" customWidth="1"/>
    <col min="2864" max="2864" width="3.42578125" style="129" customWidth="1"/>
    <col min="2865" max="2865" width="3.5703125" style="129" customWidth="1"/>
    <col min="2866" max="2866" width="3.7109375" style="129" customWidth="1"/>
    <col min="2867" max="2867" width="3.140625" style="129" customWidth="1"/>
    <col min="2868" max="2868" width="3.28515625" style="129" customWidth="1"/>
    <col min="2869" max="2871" width="3.42578125" style="129" customWidth="1"/>
    <col min="2872" max="2872" width="3" style="129" customWidth="1"/>
    <col min="2873" max="2873" width="2.7109375" style="129" customWidth="1"/>
    <col min="2874" max="2874" width="2.85546875" style="129" customWidth="1"/>
    <col min="2875" max="2875" width="2.7109375" style="129" customWidth="1"/>
    <col min="2876" max="2876" width="3.85546875" style="129" customWidth="1"/>
    <col min="2877" max="2877" width="2.7109375" style="129" customWidth="1"/>
    <col min="2878" max="2878" width="3.7109375" style="129" customWidth="1"/>
    <col min="2879" max="2879" width="2.7109375" style="129" customWidth="1"/>
    <col min="2880" max="2880" width="3" style="129" customWidth="1"/>
    <col min="2881" max="2883" width="2.85546875" style="129" customWidth="1"/>
    <col min="2884" max="2884" width="3.28515625" style="129" customWidth="1"/>
    <col min="2885" max="2885" width="3.140625" style="129" customWidth="1"/>
    <col min="2886" max="2888" width="3.28515625" style="129" customWidth="1"/>
    <col min="2889" max="2889" width="3" style="129" customWidth="1"/>
    <col min="2890" max="2890" width="3.140625" style="129" customWidth="1"/>
    <col min="2891" max="2891" width="3.5703125" style="129" customWidth="1"/>
    <col min="2892" max="2893" width="2.85546875" style="129" customWidth="1"/>
    <col min="2894" max="2894" width="3.42578125" style="129" customWidth="1"/>
    <col min="2895" max="2895" width="2.7109375" style="129" customWidth="1"/>
    <col min="2896" max="2896" width="2.28515625" style="129" customWidth="1"/>
    <col min="2897" max="3114" width="11.42578125" style="129"/>
    <col min="3115" max="3115" width="1.42578125" style="129" customWidth="1"/>
    <col min="3116" max="3116" width="4.28515625" style="129" customWidth="1"/>
    <col min="3117" max="3117" width="2.85546875" style="129" customWidth="1"/>
    <col min="3118" max="3118" width="3.42578125" style="129" customWidth="1"/>
    <col min="3119" max="3119" width="3.140625" style="129" customWidth="1"/>
    <col min="3120" max="3120" width="3.42578125" style="129" customWidth="1"/>
    <col min="3121" max="3121" width="3.5703125" style="129" customWidth="1"/>
    <col min="3122" max="3122" width="3.7109375" style="129" customWidth="1"/>
    <col min="3123" max="3123" width="3.140625" style="129" customWidth="1"/>
    <col min="3124" max="3124" width="3.28515625" style="129" customWidth="1"/>
    <col min="3125" max="3127" width="3.42578125" style="129" customWidth="1"/>
    <col min="3128" max="3128" width="3" style="129" customWidth="1"/>
    <col min="3129" max="3129" width="2.7109375" style="129" customWidth="1"/>
    <col min="3130" max="3130" width="2.85546875" style="129" customWidth="1"/>
    <col min="3131" max="3131" width="2.7109375" style="129" customWidth="1"/>
    <col min="3132" max="3132" width="3.85546875" style="129" customWidth="1"/>
    <col min="3133" max="3133" width="2.7109375" style="129" customWidth="1"/>
    <col min="3134" max="3134" width="3.7109375" style="129" customWidth="1"/>
    <col min="3135" max="3135" width="2.7109375" style="129" customWidth="1"/>
    <col min="3136" max="3136" width="3" style="129" customWidth="1"/>
    <col min="3137" max="3139" width="2.85546875" style="129" customWidth="1"/>
    <col min="3140" max="3140" width="3.28515625" style="129" customWidth="1"/>
    <col min="3141" max="3141" width="3.140625" style="129" customWidth="1"/>
    <col min="3142" max="3144" width="3.28515625" style="129" customWidth="1"/>
    <col min="3145" max="3145" width="3" style="129" customWidth="1"/>
    <col min="3146" max="3146" width="3.140625" style="129" customWidth="1"/>
    <col min="3147" max="3147" width="3.5703125" style="129" customWidth="1"/>
    <col min="3148" max="3149" width="2.85546875" style="129" customWidth="1"/>
    <col min="3150" max="3150" width="3.42578125" style="129" customWidth="1"/>
    <col min="3151" max="3151" width="2.7109375" style="129" customWidth="1"/>
    <col min="3152" max="3152" width="2.28515625" style="129" customWidth="1"/>
    <col min="3153" max="3370" width="11.42578125" style="129"/>
    <col min="3371" max="3371" width="1.42578125" style="129" customWidth="1"/>
    <col min="3372" max="3372" width="4.28515625" style="129" customWidth="1"/>
    <col min="3373" max="3373" width="2.85546875" style="129" customWidth="1"/>
    <col min="3374" max="3374" width="3.42578125" style="129" customWidth="1"/>
    <col min="3375" max="3375" width="3.140625" style="129" customWidth="1"/>
    <col min="3376" max="3376" width="3.42578125" style="129" customWidth="1"/>
    <col min="3377" max="3377" width="3.5703125" style="129" customWidth="1"/>
    <col min="3378" max="3378" width="3.7109375" style="129" customWidth="1"/>
    <col min="3379" max="3379" width="3.140625" style="129" customWidth="1"/>
    <col min="3380" max="3380" width="3.28515625" style="129" customWidth="1"/>
    <col min="3381" max="3383" width="3.42578125" style="129" customWidth="1"/>
    <col min="3384" max="3384" width="3" style="129" customWidth="1"/>
    <col min="3385" max="3385" width="2.7109375" style="129" customWidth="1"/>
    <col min="3386" max="3386" width="2.85546875" style="129" customWidth="1"/>
    <col min="3387" max="3387" width="2.7109375" style="129" customWidth="1"/>
    <col min="3388" max="3388" width="3.85546875" style="129" customWidth="1"/>
    <col min="3389" max="3389" width="2.7109375" style="129" customWidth="1"/>
    <col min="3390" max="3390" width="3.7109375" style="129" customWidth="1"/>
    <col min="3391" max="3391" width="2.7109375" style="129" customWidth="1"/>
    <col min="3392" max="3392" width="3" style="129" customWidth="1"/>
    <col min="3393" max="3395" width="2.85546875" style="129" customWidth="1"/>
    <col min="3396" max="3396" width="3.28515625" style="129" customWidth="1"/>
    <col min="3397" max="3397" width="3.140625" style="129" customWidth="1"/>
    <col min="3398" max="3400" width="3.28515625" style="129" customWidth="1"/>
    <col min="3401" max="3401" width="3" style="129" customWidth="1"/>
    <col min="3402" max="3402" width="3.140625" style="129" customWidth="1"/>
    <col min="3403" max="3403" width="3.5703125" style="129" customWidth="1"/>
    <col min="3404" max="3405" width="2.85546875" style="129" customWidth="1"/>
    <col min="3406" max="3406" width="3.42578125" style="129" customWidth="1"/>
    <col min="3407" max="3407" width="2.7109375" style="129" customWidth="1"/>
    <col min="3408" max="3408" width="2.28515625" style="129" customWidth="1"/>
    <col min="3409" max="3626" width="11.42578125" style="129"/>
    <col min="3627" max="3627" width="1.42578125" style="129" customWidth="1"/>
    <col min="3628" max="3628" width="4.28515625" style="129" customWidth="1"/>
    <col min="3629" max="3629" width="2.85546875" style="129" customWidth="1"/>
    <col min="3630" max="3630" width="3.42578125" style="129" customWidth="1"/>
    <col min="3631" max="3631" width="3.140625" style="129" customWidth="1"/>
    <col min="3632" max="3632" width="3.42578125" style="129" customWidth="1"/>
    <col min="3633" max="3633" width="3.5703125" style="129" customWidth="1"/>
    <col min="3634" max="3634" width="3.7109375" style="129" customWidth="1"/>
    <col min="3635" max="3635" width="3.140625" style="129" customWidth="1"/>
    <col min="3636" max="3636" width="3.28515625" style="129" customWidth="1"/>
    <col min="3637" max="3639" width="3.42578125" style="129" customWidth="1"/>
    <col min="3640" max="3640" width="3" style="129" customWidth="1"/>
    <col min="3641" max="3641" width="2.7109375" style="129" customWidth="1"/>
    <col min="3642" max="3642" width="2.85546875" style="129" customWidth="1"/>
    <col min="3643" max="3643" width="2.7109375" style="129" customWidth="1"/>
    <col min="3644" max="3644" width="3.85546875" style="129" customWidth="1"/>
    <col min="3645" max="3645" width="2.7109375" style="129" customWidth="1"/>
    <col min="3646" max="3646" width="3.7109375" style="129" customWidth="1"/>
    <col min="3647" max="3647" width="2.7109375" style="129" customWidth="1"/>
    <col min="3648" max="3648" width="3" style="129" customWidth="1"/>
    <col min="3649" max="3651" width="2.85546875" style="129" customWidth="1"/>
    <col min="3652" max="3652" width="3.28515625" style="129" customWidth="1"/>
    <col min="3653" max="3653" width="3.140625" style="129" customWidth="1"/>
    <col min="3654" max="3656" width="3.28515625" style="129" customWidth="1"/>
    <col min="3657" max="3657" width="3" style="129" customWidth="1"/>
    <col min="3658" max="3658" width="3.140625" style="129" customWidth="1"/>
    <col min="3659" max="3659" width="3.5703125" style="129" customWidth="1"/>
    <col min="3660" max="3661" width="2.85546875" style="129" customWidth="1"/>
    <col min="3662" max="3662" width="3.42578125" style="129" customWidth="1"/>
    <col min="3663" max="3663" width="2.7109375" style="129" customWidth="1"/>
    <col min="3664" max="3664" width="2.28515625" style="129" customWidth="1"/>
    <col min="3665" max="3882" width="11.42578125" style="129"/>
    <col min="3883" max="3883" width="1.42578125" style="129" customWidth="1"/>
    <col min="3884" max="3884" width="4.28515625" style="129" customWidth="1"/>
    <col min="3885" max="3885" width="2.85546875" style="129" customWidth="1"/>
    <col min="3886" max="3886" width="3.42578125" style="129" customWidth="1"/>
    <col min="3887" max="3887" width="3.140625" style="129" customWidth="1"/>
    <col min="3888" max="3888" width="3.42578125" style="129" customWidth="1"/>
    <col min="3889" max="3889" width="3.5703125" style="129" customWidth="1"/>
    <col min="3890" max="3890" width="3.7109375" style="129" customWidth="1"/>
    <col min="3891" max="3891" width="3.140625" style="129" customWidth="1"/>
    <col min="3892" max="3892" width="3.28515625" style="129" customWidth="1"/>
    <col min="3893" max="3895" width="3.42578125" style="129" customWidth="1"/>
    <col min="3896" max="3896" width="3" style="129" customWidth="1"/>
    <col min="3897" max="3897" width="2.7109375" style="129" customWidth="1"/>
    <col min="3898" max="3898" width="2.85546875" style="129" customWidth="1"/>
    <col min="3899" max="3899" width="2.7109375" style="129" customWidth="1"/>
    <col min="3900" max="3900" width="3.85546875" style="129" customWidth="1"/>
    <col min="3901" max="3901" width="2.7109375" style="129" customWidth="1"/>
    <col min="3902" max="3902" width="3.7109375" style="129" customWidth="1"/>
    <col min="3903" max="3903" width="2.7109375" style="129" customWidth="1"/>
    <col min="3904" max="3904" width="3" style="129" customWidth="1"/>
    <col min="3905" max="3907" width="2.85546875" style="129" customWidth="1"/>
    <col min="3908" max="3908" width="3.28515625" style="129" customWidth="1"/>
    <col min="3909" max="3909" width="3.140625" style="129" customWidth="1"/>
    <col min="3910" max="3912" width="3.28515625" style="129" customWidth="1"/>
    <col min="3913" max="3913" width="3" style="129" customWidth="1"/>
    <col min="3914" max="3914" width="3.140625" style="129" customWidth="1"/>
    <col min="3915" max="3915" width="3.5703125" style="129" customWidth="1"/>
    <col min="3916" max="3917" width="2.85546875" style="129" customWidth="1"/>
    <col min="3918" max="3918" width="3.42578125" style="129" customWidth="1"/>
    <col min="3919" max="3919" width="2.7109375" style="129" customWidth="1"/>
    <col min="3920" max="3920" width="2.28515625" style="129" customWidth="1"/>
    <col min="3921" max="4138" width="11.42578125" style="129"/>
    <col min="4139" max="4139" width="1.42578125" style="129" customWidth="1"/>
    <col min="4140" max="4140" width="4.28515625" style="129" customWidth="1"/>
    <col min="4141" max="4141" width="2.85546875" style="129" customWidth="1"/>
    <col min="4142" max="4142" width="3.42578125" style="129" customWidth="1"/>
    <col min="4143" max="4143" width="3.140625" style="129" customWidth="1"/>
    <col min="4144" max="4144" width="3.42578125" style="129" customWidth="1"/>
    <col min="4145" max="4145" width="3.5703125" style="129" customWidth="1"/>
    <col min="4146" max="4146" width="3.7109375" style="129" customWidth="1"/>
    <col min="4147" max="4147" width="3.140625" style="129" customWidth="1"/>
    <col min="4148" max="4148" width="3.28515625" style="129" customWidth="1"/>
    <col min="4149" max="4151" width="3.42578125" style="129" customWidth="1"/>
    <col min="4152" max="4152" width="3" style="129" customWidth="1"/>
    <col min="4153" max="4153" width="2.7109375" style="129" customWidth="1"/>
    <col min="4154" max="4154" width="2.85546875" style="129" customWidth="1"/>
    <col min="4155" max="4155" width="2.7109375" style="129" customWidth="1"/>
    <col min="4156" max="4156" width="3.85546875" style="129" customWidth="1"/>
    <col min="4157" max="4157" width="2.7109375" style="129" customWidth="1"/>
    <col min="4158" max="4158" width="3.7109375" style="129" customWidth="1"/>
    <col min="4159" max="4159" width="2.7109375" style="129" customWidth="1"/>
    <col min="4160" max="4160" width="3" style="129" customWidth="1"/>
    <col min="4161" max="4163" width="2.85546875" style="129" customWidth="1"/>
    <col min="4164" max="4164" width="3.28515625" style="129" customWidth="1"/>
    <col min="4165" max="4165" width="3.140625" style="129" customWidth="1"/>
    <col min="4166" max="4168" width="3.28515625" style="129" customWidth="1"/>
    <col min="4169" max="4169" width="3" style="129" customWidth="1"/>
    <col min="4170" max="4170" width="3.140625" style="129" customWidth="1"/>
    <col min="4171" max="4171" width="3.5703125" style="129" customWidth="1"/>
    <col min="4172" max="4173" width="2.85546875" style="129" customWidth="1"/>
    <col min="4174" max="4174" width="3.42578125" style="129" customWidth="1"/>
    <col min="4175" max="4175" width="2.7109375" style="129" customWidth="1"/>
    <col min="4176" max="4176" width="2.28515625" style="129" customWidth="1"/>
    <col min="4177" max="4394" width="11.42578125" style="129"/>
    <col min="4395" max="4395" width="1.42578125" style="129" customWidth="1"/>
    <col min="4396" max="4396" width="4.28515625" style="129" customWidth="1"/>
    <col min="4397" max="4397" width="2.85546875" style="129" customWidth="1"/>
    <col min="4398" max="4398" width="3.42578125" style="129" customWidth="1"/>
    <col min="4399" max="4399" width="3.140625" style="129" customWidth="1"/>
    <col min="4400" max="4400" width="3.42578125" style="129" customWidth="1"/>
    <col min="4401" max="4401" width="3.5703125" style="129" customWidth="1"/>
    <col min="4402" max="4402" width="3.7109375" style="129" customWidth="1"/>
    <col min="4403" max="4403" width="3.140625" style="129" customWidth="1"/>
    <col min="4404" max="4404" width="3.28515625" style="129" customWidth="1"/>
    <col min="4405" max="4407" width="3.42578125" style="129" customWidth="1"/>
    <col min="4408" max="4408" width="3" style="129" customWidth="1"/>
    <col min="4409" max="4409" width="2.7109375" style="129" customWidth="1"/>
    <col min="4410" max="4410" width="2.85546875" style="129" customWidth="1"/>
    <col min="4411" max="4411" width="2.7109375" style="129" customWidth="1"/>
    <col min="4412" max="4412" width="3.85546875" style="129" customWidth="1"/>
    <col min="4413" max="4413" width="2.7109375" style="129" customWidth="1"/>
    <col min="4414" max="4414" width="3.7109375" style="129" customWidth="1"/>
    <col min="4415" max="4415" width="2.7109375" style="129" customWidth="1"/>
    <col min="4416" max="4416" width="3" style="129" customWidth="1"/>
    <col min="4417" max="4419" width="2.85546875" style="129" customWidth="1"/>
    <col min="4420" max="4420" width="3.28515625" style="129" customWidth="1"/>
    <col min="4421" max="4421" width="3.140625" style="129" customWidth="1"/>
    <col min="4422" max="4424" width="3.28515625" style="129" customWidth="1"/>
    <col min="4425" max="4425" width="3" style="129" customWidth="1"/>
    <col min="4426" max="4426" width="3.140625" style="129" customWidth="1"/>
    <col min="4427" max="4427" width="3.5703125" style="129" customWidth="1"/>
    <col min="4428" max="4429" width="2.85546875" style="129" customWidth="1"/>
    <col min="4430" max="4430" width="3.42578125" style="129" customWidth="1"/>
    <col min="4431" max="4431" width="2.7109375" style="129" customWidth="1"/>
    <col min="4432" max="4432" width="2.28515625" style="129" customWidth="1"/>
    <col min="4433" max="4650" width="11.42578125" style="129"/>
    <col min="4651" max="4651" width="1.42578125" style="129" customWidth="1"/>
    <col min="4652" max="4652" width="4.28515625" style="129" customWidth="1"/>
    <col min="4653" max="4653" width="2.85546875" style="129" customWidth="1"/>
    <col min="4654" max="4654" width="3.42578125" style="129" customWidth="1"/>
    <col min="4655" max="4655" width="3.140625" style="129" customWidth="1"/>
    <col min="4656" max="4656" width="3.42578125" style="129" customWidth="1"/>
    <col min="4657" max="4657" width="3.5703125" style="129" customWidth="1"/>
    <col min="4658" max="4658" width="3.7109375" style="129" customWidth="1"/>
    <col min="4659" max="4659" width="3.140625" style="129" customWidth="1"/>
    <col min="4660" max="4660" width="3.28515625" style="129" customWidth="1"/>
    <col min="4661" max="4663" width="3.42578125" style="129" customWidth="1"/>
    <col min="4664" max="4664" width="3" style="129" customWidth="1"/>
    <col min="4665" max="4665" width="2.7109375" style="129" customWidth="1"/>
    <col min="4666" max="4666" width="2.85546875" style="129" customWidth="1"/>
    <col min="4667" max="4667" width="2.7109375" style="129" customWidth="1"/>
    <col min="4668" max="4668" width="3.85546875" style="129" customWidth="1"/>
    <col min="4669" max="4669" width="2.7109375" style="129" customWidth="1"/>
    <col min="4670" max="4670" width="3.7109375" style="129" customWidth="1"/>
    <col min="4671" max="4671" width="2.7109375" style="129" customWidth="1"/>
    <col min="4672" max="4672" width="3" style="129" customWidth="1"/>
    <col min="4673" max="4675" width="2.85546875" style="129" customWidth="1"/>
    <col min="4676" max="4676" width="3.28515625" style="129" customWidth="1"/>
    <col min="4677" max="4677" width="3.140625" style="129" customWidth="1"/>
    <col min="4678" max="4680" width="3.28515625" style="129" customWidth="1"/>
    <col min="4681" max="4681" width="3" style="129" customWidth="1"/>
    <col min="4682" max="4682" width="3.140625" style="129" customWidth="1"/>
    <col min="4683" max="4683" width="3.5703125" style="129" customWidth="1"/>
    <col min="4684" max="4685" width="2.85546875" style="129" customWidth="1"/>
    <col min="4686" max="4686" width="3.42578125" style="129" customWidth="1"/>
    <col min="4687" max="4687" width="2.7109375" style="129" customWidth="1"/>
    <col min="4688" max="4688" width="2.28515625" style="129" customWidth="1"/>
    <col min="4689" max="4906" width="11.42578125" style="129"/>
    <col min="4907" max="4907" width="1.42578125" style="129" customWidth="1"/>
    <col min="4908" max="4908" width="4.28515625" style="129" customWidth="1"/>
    <col min="4909" max="4909" width="2.85546875" style="129" customWidth="1"/>
    <col min="4910" max="4910" width="3.42578125" style="129" customWidth="1"/>
    <col min="4911" max="4911" width="3.140625" style="129" customWidth="1"/>
    <col min="4912" max="4912" width="3.42578125" style="129" customWidth="1"/>
    <col min="4913" max="4913" width="3.5703125" style="129" customWidth="1"/>
    <col min="4914" max="4914" width="3.7109375" style="129" customWidth="1"/>
    <col min="4915" max="4915" width="3.140625" style="129" customWidth="1"/>
    <col min="4916" max="4916" width="3.28515625" style="129" customWidth="1"/>
    <col min="4917" max="4919" width="3.42578125" style="129" customWidth="1"/>
    <col min="4920" max="4920" width="3" style="129" customWidth="1"/>
    <col min="4921" max="4921" width="2.7109375" style="129" customWidth="1"/>
    <col min="4922" max="4922" width="2.85546875" style="129" customWidth="1"/>
    <col min="4923" max="4923" width="2.7109375" style="129" customWidth="1"/>
    <col min="4924" max="4924" width="3.85546875" style="129" customWidth="1"/>
    <col min="4925" max="4925" width="2.7109375" style="129" customWidth="1"/>
    <col min="4926" max="4926" width="3.7109375" style="129" customWidth="1"/>
    <col min="4927" max="4927" width="2.7109375" style="129" customWidth="1"/>
    <col min="4928" max="4928" width="3" style="129" customWidth="1"/>
    <col min="4929" max="4931" width="2.85546875" style="129" customWidth="1"/>
    <col min="4932" max="4932" width="3.28515625" style="129" customWidth="1"/>
    <col min="4933" max="4933" width="3.140625" style="129" customWidth="1"/>
    <col min="4934" max="4936" width="3.28515625" style="129" customWidth="1"/>
    <col min="4937" max="4937" width="3" style="129" customWidth="1"/>
    <col min="4938" max="4938" width="3.140625" style="129" customWidth="1"/>
    <col min="4939" max="4939" width="3.5703125" style="129" customWidth="1"/>
    <col min="4940" max="4941" width="2.85546875" style="129" customWidth="1"/>
    <col min="4942" max="4942" width="3.42578125" style="129" customWidth="1"/>
    <col min="4943" max="4943" width="2.7109375" style="129" customWidth="1"/>
    <col min="4944" max="4944" width="2.28515625" style="129" customWidth="1"/>
    <col min="4945" max="5162" width="11.42578125" style="129"/>
    <col min="5163" max="5163" width="1.42578125" style="129" customWidth="1"/>
    <col min="5164" max="5164" width="4.28515625" style="129" customWidth="1"/>
    <col min="5165" max="5165" width="2.85546875" style="129" customWidth="1"/>
    <col min="5166" max="5166" width="3.42578125" style="129" customWidth="1"/>
    <col min="5167" max="5167" width="3.140625" style="129" customWidth="1"/>
    <col min="5168" max="5168" width="3.42578125" style="129" customWidth="1"/>
    <col min="5169" max="5169" width="3.5703125" style="129" customWidth="1"/>
    <col min="5170" max="5170" width="3.7109375" style="129" customWidth="1"/>
    <col min="5171" max="5171" width="3.140625" style="129" customWidth="1"/>
    <col min="5172" max="5172" width="3.28515625" style="129" customWidth="1"/>
    <col min="5173" max="5175" width="3.42578125" style="129" customWidth="1"/>
    <col min="5176" max="5176" width="3" style="129" customWidth="1"/>
    <col min="5177" max="5177" width="2.7109375" style="129" customWidth="1"/>
    <col min="5178" max="5178" width="2.85546875" style="129" customWidth="1"/>
    <col min="5179" max="5179" width="2.7109375" style="129" customWidth="1"/>
    <col min="5180" max="5180" width="3.85546875" style="129" customWidth="1"/>
    <col min="5181" max="5181" width="2.7109375" style="129" customWidth="1"/>
    <col min="5182" max="5182" width="3.7109375" style="129" customWidth="1"/>
    <col min="5183" max="5183" width="2.7109375" style="129" customWidth="1"/>
    <col min="5184" max="5184" width="3" style="129" customWidth="1"/>
    <col min="5185" max="5187" width="2.85546875" style="129" customWidth="1"/>
    <col min="5188" max="5188" width="3.28515625" style="129" customWidth="1"/>
    <col min="5189" max="5189" width="3.140625" style="129" customWidth="1"/>
    <col min="5190" max="5192" width="3.28515625" style="129" customWidth="1"/>
    <col min="5193" max="5193" width="3" style="129" customWidth="1"/>
    <col min="5194" max="5194" width="3.140625" style="129" customWidth="1"/>
    <col min="5195" max="5195" width="3.5703125" style="129" customWidth="1"/>
    <col min="5196" max="5197" width="2.85546875" style="129" customWidth="1"/>
    <col min="5198" max="5198" width="3.42578125" style="129" customWidth="1"/>
    <col min="5199" max="5199" width="2.7109375" style="129" customWidth="1"/>
    <col min="5200" max="5200" width="2.28515625" style="129" customWidth="1"/>
    <col min="5201" max="5418" width="11.42578125" style="129"/>
    <col min="5419" max="5419" width="1.42578125" style="129" customWidth="1"/>
    <col min="5420" max="5420" width="4.28515625" style="129" customWidth="1"/>
    <col min="5421" max="5421" width="2.85546875" style="129" customWidth="1"/>
    <col min="5422" max="5422" width="3.42578125" style="129" customWidth="1"/>
    <col min="5423" max="5423" width="3.140625" style="129" customWidth="1"/>
    <col min="5424" max="5424" width="3.42578125" style="129" customWidth="1"/>
    <col min="5425" max="5425" width="3.5703125" style="129" customWidth="1"/>
    <col min="5426" max="5426" width="3.7109375" style="129" customWidth="1"/>
    <col min="5427" max="5427" width="3.140625" style="129" customWidth="1"/>
    <col min="5428" max="5428" width="3.28515625" style="129" customWidth="1"/>
    <col min="5429" max="5431" width="3.42578125" style="129" customWidth="1"/>
    <col min="5432" max="5432" width="3" style="129" customWidth="1"/>
    <col min="5433" max="5433" width="2.7109375" style="129" customWidth="1"/>
    <col min="5434" max="5434" width="2.85546875" style="129" customWidth="1"/>
    <col min="5435" max="5435" width="2.7109375" style="129" customWidth="1"/>
    <col min="5436" max="5436" width="3.85546875" style="129" customWidth="1"/>
    <col min="5437" max="5437" width="2.7109375" style="129" customWidth="1"/>
    <col min="5438" max="5438" width="3.7109375" style="129" customWidth="1"/>
    <col min="5439" max="5439" width="2.7109375" style="129" customWidth="1"/>
    <col min="5440" max="5440" width="3" style="129" customWidth="1"/>
    <col min="5441" max="5443" width="2.85546875" style="129" customWidth="1"/>
    <col min="5444" max="5444" width="3.28515625" style="129" customWidth="1"/>
    <col min="5445" max="5445" width="3.140625" style="129" customWidth="1"/>
    <col min="5446" max="5448" width="3.28515625" style="129" customWidth="1"/>
    <col min="5449" max="5449" width="3" style="129" customWidth="1"/>
    <col min="5450" max="5450" width="3.140625" style="129" customWidth="1"/>
    <col min="5451" max="5451" width="3.5703125" style="129" customWidth="1"/>
    <col min="5452" max="5453" width="2.85546875" style="129" customWidth="1"/>
    <col min="5454" max="5454" width="3.42578125" style="129" customWidth="1"/>
    <col min="5455" max="5455" width="2.7109375" style="129" customWidth="1"/>
    <col min="5456" max="5456" width="2.28515625" style="129" customWidth="1"/>
    <col min="5457" max="5674" width="11.42578125" style="129"/>
    <col min="5675" max="5675" width="1.42578125" style="129" customWidth="1"/>
    <col min="5676" max="5676" width="4.28515625" style="129" customWidth="1"/>
    <col min="5677" max="5677" width="2.85546875" style="129" customWidth="1"/>
    <col min="5678" max="5678" width="3.42578125" style="129" customWidth="1"/>
    <col min="5679" max="5679" width="3.140625" style="129" customWidth="1"/>
    <col min="5680" max="5680" width="3.42578125" style="129" customWidth="1"/>
    <col min="5681" max="5681" width="3.5703125" style="129" customWidth="1"/>
    <col min="5682" max="5682" width="3.7109375" style="129" customWidth="1"/>
    <col min="5683" max="5683" width="3.140625" style="129" customWidth="1"/>
    <col min="5684" max="5684" width="3.28515625" style="129" customWidth="1"/>
    <col min="5685" max="5687" width="3.42578125" style="129" customWidth="1"/>
    <col min="5688" max="5688" width="3" style="129" customWidth="1"/>
    <col min="5689" max="5689" width="2.7109375" style="129" customWidth="1"/>
    <col min="5690" max="5690" width="2.85546875" style="129" customWidth="1"/>
    <col min="5691" max="5691" width="2.7109375" style="129" customWidth="1"/>
    <col min="5692" max="5692" width="3.85546875" style="129" customWidth="1"/>
    <col min="5693" max="5693" width="2.7109375" style="129" customWidth="1"/>
    <col min="5694" max="5694" width="3.7109375" style="129" customWidth="1"/>
    <col min="5695" max="5695" width="2.7109375" style="129" customWidth="1"/>
    <col min="5696" max="5696" width="3" style="129" customWidth="1"/>
    <col min="5697" max="5699" width="2.85546875" style="129" customWidth="1"/>
    <col min="5700" max="5700" width="3.28515625" style="129" customWidth="1"/>
    <col min="5701" max="5701" width="3.140625" style="129" customWidth="1"/>
    <col min="5702" max="5704" width="3.28515625" style="129" customWidth="1"/>
    <col min="5705" max="5705" width="3" style="129" customWidth="1"/>
    <col min="5706" max="5706" width="3.140625" style="129" customWidth="1"/>
    <col min="5707" max="5707" width="3.5703125" style="129" customWidth="1"/>
    <col min="5708" max="5709" width="2.85546875" style="129" customWidth="1"/>
    <col min="5710" max="5710" width="3.42578125" style="129" customWidth="1"/>
    <col min="5711" max="5711" width="2.7109375" style="129" customWidth="1"/>
    <col min="5712" max="5712" width="2.28515625" style="129" customWidth="1"/>
    <col min="5713" max="5930" width="11.42578125" style="129"/>
    <col min="5931" max="5931" width="1.42578125" style="129" customWidth="1"/>
    <col min="5932" max="5932" width="4.28515625" style="129" customWidth="1"/>
    <col min="5933" max="5933" width="2.85546875" style="129" customWidth="1"/>
    <col min="5934" max="5934" width="3.42578125" style="129" customWidth="1"/>
    <col min="5935" max="5935" width="3.140625" style="129" customWidth="1"/>
    <col min="5936" max="5936" width="3.42578125" style="129" customWidth="1"/>
    <col min="5937" max="5937" width="3.5703125" style="129" customWidth="1"/>
    <col min="5938" max="5938" width="3.7109375" style="129" customWidth="1"/>
    <col min="5939" max="5939" width="3.140625" style="129" customWidth="1"/>
    <col min="5940" max="5940" width="3.28515625" style="129" customWidth="1"/>
    <col min="5941" max="5943" width="3.42578125" style="129" customWidth="1"/>
    <col min="5944" max="5944" width="3" style="129" customWidth="1"/>
    <col min="5945" max="5945" width="2.7109375" style="129" customWidth="1"/>
    <col min="5946" max="5946" width="2.85546875" style="129" customWidth="1"/>
    <col min="5947" max="5947" width="2.7109375" style="129" customWidth="1"/>
    <col min="5948" max="5948" width="3.85546875" style="129" customWidth="1"/>
    <col min="5949" max="5949" width="2.7109375" style="129" customWidth="1"/>
    <col min="5950" max="5950" width="3.7109375" style="129" customWidth="1"/>
    <col min="5951" max="5951" width="2.7109375" style="129" customWidth="1"/>
    <col min="5952" max="5952" width="3" style="129" customWidth="1"/>
    <col min="5953" max="5955" width="2.85546875" style="129" customWidth="1"/>
    <col min="5956" max="5956" width="3.28515625" style="129" customWidth="1"/>
    <col min="5957" max="5957" width="3.140625" style="129" customWidth="1"/>
    <col min="5958" max="5960" width="3.28515625" style="129" customWidth="1"/>
    <col min="5961" max="5961" width="3" style="129" customWidth="1"/>
    <col min="5962" max="5962" width="3.140625" style="129" customWidth="1"/>
    <col min="5963" max="5963" width="3.5703125" style="129" customWidth="1"/>
    <col min="5964" max="5965" width="2.85546875" style="129" customWidth="1"/>
    <col min="5966" max="5966" width="3.42578125" style="129" customWidth="1"/>
    <col min="5967" max="5967" width="2.7109375" style="129" customWidth="1"/>
    <col min="5968" max="5968" width="2.28515625" style="129" customWidth="1"/>
    <col min="5969" max="6186" width="11.42578125" style="129"/>
    <col min="6187" max="6187" width="1.42578125" style="129" customWidth="1"/>
    <col min="6188" max="6188" width="4.28515625" style="129" customWidth="1"/>
    <col min="6189" max="6189" width="2.85546875" style="129" customWidth="1"/>
    <col min="6190" max="6190" width="3.42578125" style="129" customWidth="1"/>
    <col min="6191" max="6191" width="3.140625" style="129" customWidth="1"/>
    <col min="6192" max="6192" width="3.42578125" style="129" customWidth="1"/>
    <col min="6193" max="6193" width="3.5703125" style="129" customWidth="1"/>
    <col min="6194" max="6194" width="3.7109375" style="129" customWidth="1"/>
    <col min="6195" max="6195" width="3.140625" style="129" customWidth="1"/>
    <col min="6196" max="6196" width="3.28515625" style="129" customWidth="1"/>
    <col min="6197" max="6199" width="3.42578125" style="129" customWidth="1"/>
    <col min="6200" max="6200" width="3" style="129" customWidth="1"/>
    <col min="6201" max="6201" width="2.7109375" style="129" customWidth="1"/>
    <col min="6202" max="6202" width="2.85546875" style="129" customWidth="1"/>
    <col min="6203" max="6203" width="2.7109375" style="129" customWidth="1"/>
    <col min="6204" max="6204" width="3.85546875" style="129" customWidth="1"/>
    <col min="6205" max="6205" width="2.7109375" style="129" customWidth="1"/>
    <col min="6206" max="6206" width="3.7109375" style="129" customWidth="1"/>
    <col min="6207" max="6207" width="2.7109375" style="129" customWidth="1"/>
    <col min="6208" max="6208" width="3" style="129" customWidth="1"/>
    <col min="6209" max="6211" width="2.85546875" style="129" customWidth="1"/>
    <col min="6212" max="6212" width="3.28515625" style="129" customWidth="1"/>
    <col min="6213" max="6213" width="3.140625" style="129" customWidth="1"/>
    <col min="6214" max="6216" width="3.28515625" style="129" customWidth="1"/>
    <col min="6217" max="6217" width="3" style="129" customWidth="1"/>
    <col min="6218" max="6218" width="3.140625" style="129" customWidth="1"/>
    <col min="6219" max="6219" width="3.5703125" style="129" customWidth="1"/>
    <col min="6220" max="6221" width="2.85546875" style="129" customWidth="1"/>
    <col min="6222" max="6222" width="3.42578125" style="129" customWidth="1"/>
    <col min="6223" max="6223" width="2.7109375" style="129" customWidth="1"/>
    <col min="6224" max="6224" width="2.28515625" style="129" customWidth="1"/>
    <col min="6225" max="6442" width="11.42578125" style="129"/>
    <col min="6443" max="6443" width="1.42578125" style="129" customWidth="1"/>
    <col min="6444" max="6444" width="4.28515625" style="129" customWidth="1"/>
    <col min="6445" max="6445" width="2.85546875" style="129" customWidth="1"/>
    <col min="6446" max="6446" width="3.42578125" style="129" customWidth="1"/>
    <col min="6447" max="6447" width="3.140625" style="129" customWidth="1"/>
    <col min="6448" max="6448" width="3.42578125" style="129" customWidth="1"/>
    <col min="6449" max="6449" width="3.5703125" style="129" customWidth="1"/>
    <col min="6450" max="6450" width="3.7109375" style="129" customWidth="1"/>
    <col min="6451" max="6451" width="3.140625" style="129" customWidth="1"/>
    <col min="6452" max="6452" width="3.28515625" style="129" customWidth="1"/>
    <col min="6453" max="6455" width="3.42578125" style="129" customWidth="1"/>
    <col min="6456" max="6456" width="3" style="129" customWidth="1"/>
    <col min="6457" max="6457" width="2.7109375" style="129" customWidth="1"/>
    <col min="6458" max="6458" width="2.85546875" style="129" customWidth="1"/>
    <col min="6459" max="6459" width="2.7109375" style="129" customWidth="1"/>
    <col min="6460" max="6460" width="3.85546875" style="129" customWidth="1"/>
    <col min="6461" max="6461" width="2.7109375" style="129" customWidth="1"/>
    <col min="6462" max="6462" width="3.7109375" style="129" customWidth="1"/>
    <col min="6463" max="6463" width="2.7109375" style="129" customWidth="1"/>
    <col min="6464" max="6464" width="3" style="129" customWidth="1"/>
    <col min="6465" max="6467" width="2.85546875" style="129" customWidth="1"/>
    <col min="6468" max="6468" width="3.28515625" style="129" customWidth="1"/>
    <col min="6469" max="6469" width="3.140625" style="129" customWidth="1"/>
    <col min="6470" max="6472" width="3.28515625" style="129" customWidth="1"/>
    <col min="6473" max="6473" width="3" style="129" customWidth="1"/>
    <col min="6474" max="6474" width="3.140625" style="129" customWidth="1"/>
    <col min="6475" max="6475" width="3.5703125" style="129" customWidth="1"/>
    <col min="6476" max="6477" width="2.85546875" style="129" customWidth="1"/>
    <col min="6478" max="6478" width="3.42578125" style="129" customWidth="1"/>
    <col min="6479" max="6479" width="2.7109375" style="129" customWidth="1"/>
    <col min="6480" max="6480" width="2.28515625" style="129" customWidth="1"/>
    <col min="6481" max="6698" width="11.42578125" style="129"/>
    <col min="6699" max="6699" width="1.42578125" style="129" customWidth="1"/>
    <col min="6700" max="6700" width="4.28515625" style="129" customWidth="1"/>
    <col min="6701" max="6701" width="2.85546875" style="129" customWidth="1"/>
    <col min="6702" max="6702" width="3.42578125" style="129" customWidth="1"/>
    <col min="6703" max="6703" width="3.140625" style="129" customWidth="1"/>
    <col min="6704" max="6704" width="3.42578125" style="129" customWidth="1"/>
    <col min="6705" max="6705" width="3.5703125" style="129" customWidth="1"/>
    <col min="6706" max="6706" width="3.7109375" style="129" customWidth="1"/>
    <col min="6707" max="6707" width="3.140625" style="129" customWidth="1"/>
    <col min="6708" max="6708" width="3.28515625" style="129" customWidth="1"/>
    <col min="6709" max="6711" width="3.42578125" style="129" customWidth="1"/>
    <col min="6712" max="6712" width="3" style="129" customWidth="1"/>
    <col min="6713" max="6713" width="2.7109375" style="129" customWidth="1"/>
    <col min="6714" max="6714" width="2.85546875" style="129" customWidth="1"/>
    <col min="6715" max="6715" width="2.7109375" style="129" customWidth="1"/>
    <col min="6716" max="6716" width="3.85546875" style="129" customWidth="1"/>
    <col min="6717" max="6717" width="2.7109375" style="129" customWidth="1"/>
    <col min="6718" max="6718" width="3.7109375" style="129" customWidth="1"/>
    <col min="6719" max="6719" width="2.7109375" style="129" customWidth="1"/>
    <col min="6720" max="6720" width="3" style="129" customWidth="1"/>
    <col min="6721" max="6723" width="2.85546875" style="129" customWidth="1"/>
    <col min="6724" max="6724" width="3.28515625" style="129" customWidth="1"/>
    <col min="6725" max="6725" width="3.140625" style="129" customWidth="1"/>
    <col min="6726" max="6728" width="3.28515625" style="129" customWidth="1"/>
    <col min="6729" max="6729" width="3" style="129" customWidth="1"/>
    <col min="6730" max="6730" width="3.140625" style="129" customWidth="1"/>
    <col min="6731" max="6731" width="3.5703125" style="129" customWidth="1"/>
    <col min="6732" max="6733" width="2.85546875" style="129" customWidth="1"/>
    <col min="6734" max="6734" width="3.42578125" style="129" customWidth="1"/>
    <col min="6735" max="6735" width="2.7109375" style="129" customWidth="1"/>
    <col min="6736" max="6736" width="2.28515625" style="129" customWidth="1"/>
    <col min="6737" max="6954" width="11.42578125" style="129"/>
    <col min="6955" max="6955" width="1.42578125" style="129" customWidth="1"/>
    <col min="6956" max="6956" width="4.28515625" style="129" customWidth="1"/>
    <col min="6957" max="6957" width="2.85546875" style="129" customWidth="1"/>
    <col min="6958" max="6958" width="3.42578125" style="129" customWidth="1"/>
    <col min="6959" max="6959" width="3.140625" style="129" customWidth="1"/>
    <col min="6960" max="6960" width="3.42578125" style="129" customWidth="1"/>
    <col min="6961" max="6961" width="3.5703125" style="129" customWidth="1"/>
    <col min="6962" max="6962" width="3.7109375" style="129" customWidth="1"/>
    <col min="6963" max="6963" width="3.140625" style="129" customWidth="1"/>
    <col min="6964" max="6964" width="3.28515625" style="129" customWidth="1"/>
    <col min="6965" max="6967" width="3.42578125" style="129" customWidth="1"/>
    <col min="6968" max="6968" width="3" style="129" customWidth="1"/>
    <col min="6969" max="6969" width="2.7109375" style="129" customWidth="1"/>
    <col min="6970" max="6970" width="2.85546875" style="129" customWidth="1"/>
    <col min="6971" max="6971" width="2.7109375" style="129" customWidth="1"/>
    <col min="6972" max="6972" width="3.85546875" style="129" customWidth="1"/>
    <col min="6973" max="6973" width="2.7109375" style="129" customWidth="1"/>
    <col min="6974" max="6974" width="3.7109375" style="129" customWidth="1"/>
    <col min="6975" max="6975" width="2.7109375" style="129" customWidth="1"/>
    <col min="6976" max="6976" width="3" style="129" customWidth="1"/>
    <col min="6977" max="6979" width="2.85546875" style="129" customWidth="1"/>
    <col min="6980" max="6980" width="3.28515625" style="129" customWidth="1"/>
    <col min="6981" max="6981" width="3.140625" style="129" customWidth="1"/>
    <col min="6982" max="6984" width="3.28515625" style="129" customWidth="1"/>
    <col min="6985" max="6985" width="3" style="129" customWidth="1"/>
    <col min="6986" max="6986" width="3.140625" style="129" customWidth="1"/>
    <col min="6987" max="6987" width="3.5703125" style="129" customWidth="1"/>
    <col min="6988" max="6989" width="2.85546875" style="129" customWidth="1"/>
    <col min="6990" max="6990" width="3.42578125" style="129" customWidth="1"/>
    <col min="6991" max="6991" width="2.7109375" style="129" customWidth="1"/>
    <col min="6992" max="6992" width="2.28515625" style="129" customWidth="1"/>
    <col min="6993" max="7210" width="11.42578125" style="129"/>
    <col min="7211" max="7211" width="1.42578125" style="129" customWidth="1"/>
    <col min="7212" max="7212" width="4.28515625" style="129" customWidth="1"/>
    <col min="7213" max="7213" width="2.85546875" style="129" customWidth="1"/>
    <col min="7214" max="7214" width="3.42578125" style="129" customWidth="1"/>
    <col min="7215" max="7215" width="3.140625" style="129" customWidth="1"/>
    <col min="7216" max="7216" width="3.42578125" style="129" customWidth="1"/>
    <col min="7217" max="7217" width="3.5703125" style="129" customWidth="1"/>
    <col min="7218" max="7218" width="3.7109375" style="129" customWidth="1"/>
    <col min="7219" max="7219" width="3.140625" style="129" customWidth="1"/>
    <col min="7220" max="7220" width="3.28515625" style="129" customWidth="1"/>
    <col min="7221" max="7223" width="3.42578125" style="129" customWidth="1"/>
    <col min="7224" max="7224" width="3" style="129" customWidth="1"/>
    <col min="7225" max="7225" width="2.7109375" style="129" customWidth="1"/>
    <col min="7226" max="7226" width="2.85546875" style="129" customWidth="1"/>
    <col min="7227" max="7227" width="2.7109375" style="129" customWidth="1"/>
    <col min="7228" max="7228" width="3.85546875" style="129" customWidth="1"/>
    <col min="7229" max="7229" width="2.7109375" style="129" customWidth="1"/>
    <col min="7230" max="7230" width="3.7109375" style="129" customWidth="1"/>
    <col min="7231" max="7231" width="2.7109375" style="129" customWidth="1"/>
    <col min="7232" max="7232" width="3" style="129" customWidth="1"/>
    <col min="7233" max="7235" width="2.85546875" style="129" customWidth="1"/>
    <col min="7236" max="7236" width="3.28515625" style="129" customWidth="1"/>
    <col min="7237" max="7237" width="3.140625" style="129" customWidth="1"/>
    <col min="7238" max="7240" width="3.28515625" style="129" customWidth="1"/>
    <col min="7241" max="7241" width="3" style="129" customWidth="1"/>
    <col min="7242" max="7242" width="3.140625" style="129" customWidth="1"/>
    <col min="7243" max="7243" width="3.5703125" style="129" customWidth="1"/>
    <col min="7244" max="7245" width="2.85546875" style="129" customWidth="1"/>
    <col min="7246" max="7246" width="3.42578125" style="129" customWidth="1"/>
    <col min="7247" max="7247" width="2.7109375" style="129" customWidth="1"/>
    <col min="7248" max="7248" width="2.28515625" style="129" customWidth="1"/>
    <col min="7249" max="7466" width="11.42578125" style="129"/>
    <col min="7467" max="7467" width="1.42578125" style="129" customWidth="1"/>
    <col min="7468" max="7468" width="4.28515625" style="129" customWidth="1"/>
    <col min="7469" max="7469" width="2.85546875" style="129" customWidth="1"/>
    <col min="7470" max="7470" width="3.42578125" style="129" customWidth="1"/>
    <col min="7471" max="7471" width="3.140625" style="129" customWidth="1"/>
    <col min="7472" max="7472" width="3.42578125" style="129" customWidth="1"/>
    <col min="7473" max="7473" width="3.5703125" style="129" customWidth="1"/>
    <col min="7474" max="7474" width="3.7109375" style="129" customWidth="1"/>
    <col min="7475" max="7475" width="3.140625" style="129" customWidth="1"/>
    <col min="7476" max="7476" width="3.28515625" style="129" customWidth="1"/>
    <col min="7477" max="7479" width="3.42578125" style="129" customWidth="1"/>
    <col min="7480" max="7480" width="3" style="129" customWidth="1"/>
    <col min="7481" max="7481" width="2.7109375" style="129" customWidth="1"/>
    <col min="7482" max="7482" width="2.85546875" style="129" customWidth="1"/>
    <col min="7483" max="7483" width="2.7109375" style="129" customWidth="1"/>
    <col min="7484" max="7484" width="3.85546875" style="129" customWidth="1"/>
    <col min="7485" max="7485" width="2.7109375" style="129" customWidth="1"/>
    <col min="7486" max="7486" width="3.7109375" style="129" customWidth="1"/>
    <col min="7487" max="7487" width="2.7109375" style="129" customWidth="1"/>
    <col min="7488" max="7488" width="3" style="129" customWidth="1"/>
    <col min="7489" max="7491" width="2.85546875" style="129" customWidth="1"/>
    <col min="7492" max="7492" width="3.28515625" style="129" customWidth="1"/>
    <col min="7493" max="7493" width="3.140625" style="129" customWidth="1"/>
    <col min="7494" max="7496" width="3.28515625" style="129" customWidth="1"/>
    <col min="7497" max="7497" width="3" style="129" customWidth="1"/>
    <col min="7498" max="7498" width="3.140625" style="129" customWidth="1"/>
    <col min="7499" max="7499" width="3.5703125" style="129" customWidth="1"/>
    <col min="7500" max="7501" width="2.85546875" style="129" customWidth="1"/>
    <col min="7502" max="7502" width="3.42578125" style="129" customWidth="1"/>
    <col min="7503" max="7503" width="2.7109375" style="129" customWidth="1"/>
    <col min="7504" max="7504" width="2.28515625" style="129" customWidth="1"/>
    <col min="7505" max="7722" width="11.42578125" style="129"/>
    <col min="7723" max="7723" width="1.42578125" style="129" customWidth="1"/>
    <col min="7724" max="7724" width="4.28515625" style="129" customWidth="1"/>
    <col min="7725" max="7725" width="2.85546875" style="129" customWidth="1"/>
    <col min="7726" max="7726" width="3.42578125" style="129" customWidth="1"/>
    <col min="7727" max="7727" width="3.140625" style="129" customWidth="1"/>
    <col min="7728" max="7728" width="3.42578125" style="129" customWidth="1"/>
    <col min="7729" max="7729" width="3.5703125" style="129" customWidth="1"/>
    <col min="7730" max="7730" width="3.7109375" style="129" customWidth="1"/>
    <col min="7731" max="7731" width="3.140625" style="129" customWidth="1"/>
    <col min="7732" max="7732" width="3.28515625" style="129" customWidth="1"/>
    <col min="7733" max="7735" width="3.42578125" style="129" customWidth="1"/>
    <col min="7736" max="7736" width="3" style="129" customWidth="1"/>
    <col min="7737" max="7737" width="2.7109375" style="129" customWidth="1"/>
    <col min="7738" max="7738" width="2.85546875" style="129" customWidth="1"/>
    <col min="7739" max="7739" width="2.7109375" style="129" customWidth="1"/>
    <col min="7740" max="7740" width="3.85546875" style="129" customWidth="1"/>
    <col min="7741" max="7741" width="2.7109375" style="129" customWidth="1"/>
    <col min="7742" max="7742" width="3.7109375" style="129" customWidth="1"/>
    <col min="7743" max="7743" width="2.7109375" style="129" customWidth="1"/>
    <col min="7744" max="7744" width="3" style="129" customWidth="1"/>
    <col min="7745" max="7747" width="2.85546875" style="129" customWidth="1"/>
    <col min="7748" max="7748" width="3.28515625" style="129" customWidth="1"/>
    <col min="7749" max="7749" width="3.140625" style="129" customWidth="1"/>
    <col min="7750" max="7752" width="3.28515625" style="129" customWidth="1"/>
    <col min="7753" max="7753" width="3" style="129" customWidth="1"/>
    <col min="7754" max="7754" width="3.140625" style="129" customWidth="1"/>
    <col min="7755" max="7755" width="3.5703125" style="129" customWidth="1"/>
    <col min="7756" max="7757" width="2.85546875" style="129" customWidth="1"/>
    <col min="7758" max="7758" width="3.42578125" style="129" customWidth="1"/>
    <col min="7759" max="7759" width="2.7109375" style="129" customWidth="1"/>
    <col min="7760" max="7760" width="2.28515625" style="129" customWidth="1"/>
    <col min="7761" max="7978" width="11.42578125" style="129"/>
    <col min="7979" max="7979" width="1.42578125" style="129" customWidth="1"/>
    <col min="7980" max="7980" width="4.28515625" style="129" customWidth="1"/>
    <col min="7981" max="7981" width="2.85546875" style="129" customWidth="1"/>
    <col min="7982" max="7982" width="3.42578125" style="129" customWidth="1"/>
    <col min="7983" max="7983" width="3.140625" style="129" customWidth="1"/>
    <col min="7984" max="7984" width="3.42578125" style="129" customWidth="1"/>
    <col min="7985" max="7985" width="3.5703125" style="129" customWidth="1"/>
    <col min="7986" max="7986" width="3.7109375" style="129" customWidth="1"/>
    <col min="7987" max="7987" width="3.140625" style="129" customWidth="1"/>
    <col min="7988" max="7988" width="3.28515625" style="129" customWidth="1"/>
    <col min="7989" max="7991" width="3.42578125" style="129" customWidth="1"/>
    <col min="7992" max="7992" width="3" style="129" customWidth="1"/>
    <col min="7993" max="7993" width="2.7109375" style="129" customWidth="1"/>
    <col min="7994" max="7994" width="2.85546875" style="129" customWidth="1"/>
    <col min="7995" max="7995" width="2.7109375" style="129" customWidth="1"/>
    <col min="7996" max="7996" width="3.85546875" style="129" customWidth="1"/>
    <col min="7997" max="7997" width="2.7109375" style="129" customWidth="1"/>
    <col min="7998" max="7998" width="3.7109375" style="129" customWidth="1"/>
    <col min="7999" max="7999" width="2.7109375" style="129" customWidth="1"/>
    <col min="8000" max="8000" width="3" style="129" customWidth="1"/>
    <col min="8001" max="8003" width="2.85546875" style="129" customWidth="1"/>
    <col min="8004" max="8004" width="3.28515625" style="129" customWidth="1"/>
    <col min="8005" max="8005" width="3.140625" style="129" customWidth="1"/>
    <col min="8006" max="8008" width="3.28515625" style="129" customWidth="1"/>
    <col min="8009" max="8009" width="3" style="129" customWidth="1"/>
    <col min="8010" max="8010" width="3.140625" style="129" customWidth="1"/>
    <col min="8011" max="8011" width="3.5703125" style="129" customWidth="1"/>
    <col min="8012" max="8013" width="2.85546875" style="129" customWidth="1"/>
    <col min="8014" max="8014" width="3.42578125" style="129" customWidth="1"/>
    <col min="8015" max="8015" width="2.7109375" style="129" customWidth="1"/>
    <col min="8016" max="8016" width="2.28515625" style="129" customWidth="1"/>
    <col min="8017" max="8234" width="11.42578125" style="129"/>
    <col min="8235" max="8235" width="1.42578125" style="129" customWidth="1"/>
    <col min="8236" max="8236" width="4.28515625" style="129" customWidth="1"/>
    <col min="8237" max="8237" width="2.85546875" style="129" customWidth="1"/>
    <col min="8238" max="8238" width="3.42578125" style="129" customWidth="1"/>
    <col min="8239" max="8239" width="3.140625" style="129" customWidth="1"/>
    <col min="8240" max="8240" width="3.42578125" style="129" customWidth="1"/>
    <col min="8241" max="8241" width="3.5703125" style="129" customWidth="1"/>
    <col min="8242" max="8242" width="3.7109375" style="129" customWidth="1"/>
    <col min="8243" max="8243" width="3.140625" style="129" customWidth="1"/>
    <col min="8244" max="8244" width="3.28515625" style="129" customWidth="1"/>
    <col min="8245" max="8247" width="3.42578125" style="129" customWidth="1"/>
    <col min="8248" max="8248" width="3" style="129" customWidth="1"/>
    <col min="8249" max="8249" width="2.7109375" style="129" customWidth="1"/>
    <col min="8250" max="8250" width="2.85546875" style="129" customWidth="1"/>
    <col min="8251" max="8251" width="2.7109375" style="129" customWidth="1"/>
    <col min="8252" max="8252" width="3.85546875" style="129" customWidth="1"/>
    <col min="8253" max="8253" width="2.7109375" style="129" customWidth="1"/>
    <col min="8254" max="8254" width="3.7109375" style="129" customWidth="1"/>
    <col min="8255" max="8255" width="2.7109375" style="129" customWidth="1"/>
    <col min="8256" max="8256" width="3" style="129" customWidth="1"/>
    <col min="8257" max="8259" width="2.85546875" style="129" customWidth="1"/>
    <col min="8260" max="8260" width="3.28515625" style="129" customWidth="1"/>
    <col min="8261" max="8261" width="3.140625" style="129" customWidth="1"/>
    <col min="8262" max="8264" width="3.28515625" style="129" customWidth="1"/>
    <col min="8265" max="8265" width="3" style="129" customWidth="1"/>
    <col min="8266" max="8266" width="3.140625" style="129" customWidth="1"/>
    <col min="8267" max="8267" width="3.5703125" style="129" customWidth="1"/>
    <col min="8268" max="8269" width="2.85546875" style="129" customWidth="1"/>
    <col min="8270" max="8270" width="3.42578125" style="129" customWidth="1"/>
    <col min="8271" max="8271" width="2.7109375" style="129" customWidth="1"/>
    <col min="8272" max="8272" width="2.28515625" style="129" customWidth="1"/>
    <col min="8273" max="8490" width="11.42578125" style="129"/>
    <col min="8491" max="8491" width="1.42578125" style="129" customWidth="1"/>
    <col min="8492" max="8492" width="4.28515625" style="129" customWidth="1"/>
    <col min="8493" max="8493" width="2.85546875" style="129" customWidth="1"/>
    <col min="8494" max="8494" width="3.42578125" style="129" customWidth="1"/>
    <col min="8495" max="8495" width="3.140625" style="129" customWidth="1"/>
    <col min="8496" max="8496" width="3.42578125" style="129" customWidth="1"/>
    <col min="8497" max="8497" width="3.5703125" style="129" customWidth="1"/>
    <col min="8498" max="8498" width="3.7109375" style="129" customWidth="1"/>
    <col min="8499" max="8499" width="3.140625" style="129" customWidth="1"/>
    <col min="8500" max="8500" width="3.28515625" style="129" customWidth="1"/>
    <col min="8501" max="8503" width="3.42578125" style="129" customWidth="1"/>
    <col min="8504" max="8504" width="3" style="129" customWidth="1"/>
    <col min="8505" max="8505" width="2.7109375" style="129" customWidth="1"/>
    <col min="8506" max="8506" width="2.85546875" style="129" customWidth="1"/>
    <col min="8507" max="8507" width="2.7109375" style="129" customWidth="1"/>
    <col min="8508" max="8508" width="3.85546875" style="129" customWidth="1"/>
    <col min="8509" max="8509" width="2.7109375" style="129" customWidth="1"/>
    <col min="8510" max="8510" width="3.7109375" style="129" customWidth="1"/>
    <col min="8511" max="8511" width="2.7109375" style="129" customWidth="1"/>
    <col min="8512" max="8512" width="3" style="129" customWidth="1"/>
    <col min="8513" max="8515" width="2.85546875" style="129" customWidth="1"/>
    <col min="8516" max="8516" width="3.28515625" style="129" customWidth="1"/>
    <col min="8517" max="8517" width="3.140625" style="129" customWidth="1"/>
    <col min="8518" max="8520" width="3.28515625" style="129" customWidth="1"/>
    <col min="8521" max="8521" width="3" style="129" customWidth="1"/>
    <col min="8522" max="8522" width="3.140625" style="129" customWidth="1"/>
    <col min="8523" max="8523" width="3.5703125" style="129" customWidth="1"/>
    <col min="8524" max="8525" width="2.85546875" style="129" customWidth="1"/>
    <col min="8526" max="8526" width="3.42578125" style="129" customWidth="1"/>
    <col min="8527" max="8527" width="2.7109375" style="129" customWidth="1"/>
    <col min="8528" max="8528" width="2.28515625" style="129" customWidth="1"/>
    <col min="8529" max="8746" width="11.42578125" style="129"/>
    <col min="8747" max="8747" width="1.42578125" style="129" customWidth="1"/>
    <col min="8748" max="8748" width="4.28515625" style="129" customWidth="1"/>
    <col min="8749" max="8749" width="2.85546875" style="129" customWidth="1"/>
    <col min="8750" max="8750" width="3.42578125" style="129" customWidth="1"/>
    <col min="8751" max="8751" width="3.140625" style="129" customWidth="1"/>
    <col min="8752" max="8752" width="3.42578125" style="129" customWidth="1"/>
    <col min="8753" max="8753" width="3.5703125" style="129" customWidth="1"/>
    <col min="8754" max="8754" width="3.7109375" style="129" customWidth="1"/>
    <col min="8755" max="8755" width="3.140625" style="129" customWidth="1"/>
    <col min="8756" max="8756" width="3.28515625" style="129" customWidth="1"/>
    <col min="8757" max="8759" width="3.42578125" style="129" customWidth="1"/>
    <col min="8760" max="8760" width="3" style="129" customWidth="1"/>
    <col min="8761" max="8761" width="2.7109375" style="129" customWidth="1"/>
    <col min="8762" max="8762" width="2.85546875" style="129" customWidth="1"/>
    <col min="8763" max="8763" width="2.7109375" style="129" customWidth="1"/>
    <col min="8764" max="8764" width="3.85546875" style="129" customWidth="1"/>
    <col min="8765" max="8765" width="2.7109375" style="129" customWidth="1"/>
    <col min="8766" max="8766" width="3.7109375" style="129" customWidth="1"/>
    <col min="8767" max="8767" width="2.7109375" style="129" customWidth="1"/>
    <col min="8768" max="8768" width="3" style="129" customWidth="1"/>
    <col min="8769" max="8771" width="2.85546875" style="129" customWidth="1"/>
    <col min="8772" max="8772" width="3.28515625" style="129" customWidth="1"/>
    <col min="8773" max="8773" width="3.140625" style="129" customWidth="1"/>
    <col min="8774" max="8776" width="3.28515625" style="129" customWidth="1"/>
    <col min="8777" max="8777" width="3" style="129" customWidth="1"/>
    <col min="8778" max="8778" width="3.140625" style="129" customWidth="1"/>
    <col min="8779" max="8779" width="3.5703125" style="129" customWidth="1"/>
    <col min="8780" max="8781" width="2.85546875" style="129" customWidth="1"/>
    <col min="8782" max="8782" width="3.42578125" style="129" customWidth="1"/>
    <col min="8783" max="8783" width="2.7109375" style="129" customWidth="1"/>
    <col min="8784" max="8784" width="2.28515625" style="129" customWidth="1"/>
    <col min="8785" max="9002" width="11.42578125" style="129"/>
    <col min="9003" max="9003" width="1.42578125" style="129" customWidth="1"/>
    <col min="9004" max="9004" width="4.28515625" style="129" customWidth="1"/>
    <col min="9005" max="9005" width="2.85546875" style="129" customWidth="1"/>
    <col min="9006" max="9006" width="3.42578125" style="129" customWidth="1"/>
    <col min="9007" max="9007" width="3.140625" style="129" customWidth="1"/>
    <col min="9008" max="9008" width="3.42578125" style="129" customWidth="1"/>
    <col min="9009" max="9009" width="3.5703125" style="129" customWidth="1"/>
    <col min="9010" max="9010" width="3.7109375" style="129" customWidth="1"/>
    <col min="9011" max="9011" width="3.140625" style="129" customWidth="1"/>
    <col min="9012" max="9012" width="3.28515625" style="129" customWidth="1"/>
    <col min="9013" max="9015" width="3.42578125" style="129" customWidth="1"/>
    <col min="9016" max="9016" width="3" style="129" customWidth="1"/>
    <col min="9017" max="9017" width="2.7109375" style="129" customWidth="1"/>
    <col min="9018" max="9018" width="2.85546875" style="129" customWidth="1"/>
    <col min="9019" max="9019" width="2.7109375" style="129" customWidth="1"/>
    <col min="9020" max="9020" width="3.85546875" style="129" customWidth="1"/>
    <col min="9021" max="9021" width="2.7109375" style="129" customWidth="1"/>
    <col min="9022" max="9022" width="3.7109375" style="129" customWidth="1"/>
    <col min="9023" max="9023" width="2.7109375" style="129" customWidth="1"/>
    <col min="9024" max="9024" width="3" style="129" customWidth="1"/>
    <col min="9025" max="9027" width="2.85546875" style="129" customWidth="1"/>
    <col min="9028" max="9028" width="3.28515625" style="129" customWidth="1"/>
    <col min="9029" max="9029" width="3.140625" style="129" customWidth="1"/>
    <col min="9030" max="9032" width="3.28515625" style="129" customWidth="1"/>
    <col min="9033" max="9033" width="3" style="129" customWidth="1"/>
    <col min="9034" max="9034" width="3.140625" style="129" customWidth="1"/>
    <col min="9035" max="9035" width="3.5703125" style="129" customWidth="1"/>
    <col min="9036" max="9037" width="2.85546875" style="129" customWidth="1"/>
    <col min="9038" max="9038" width="3.42578125" style="129" customWidth="1"/>
    <col min="9039" max="9039" width="2.7109375" style="129" customWidth="1"/>
    <col min="9040" max="9040" width="2.28515625" style="129" customWidth="1"/>
    <col min="9041" max="9258" width="11.42578125" style="129"/>
    <col min="9259" max="9259" width="1.42578125" style="129" customWidth="1"/>
    <col min="9260" max="9260" width="4.28515625" style="129" customWidth="1"/>
    <col min="9261" max="9261" width="2.85546875" style="129" customWidth="1"/>
    <col min="9262" max="9262" width="3.42578125" style="129" customWidth="1"/>
    <col min="9263" max="9263" width="3.140625" style="129" customWidth="1"/>
    <col min="9264" max="9264" width="3.42578125" style="129" customWidth="1"/>
    <col min="9265" max="9265" width="3.5703125" style="129" customWidth="1"/>
    <col min="9266" max="9266" width="3.7109375" style="129" customWidth="1"/>
    <col min="9267" max="9267" width="3.140625" style="129" customWidth="1"/>
    <col min="9268" max="9268" width="3.28515625" style="129" customWidth="1"/>
    <col min="9269" max="9271" width="3.42578125" style="129" customWidth="1"/>
    <col min="9272" max="9272" width="3" style="129" customWidth="1"/>
    <col min="9273" max="9273" width="2.7109375" style="129" customWidth="1"/>
    <col min="9274" max="9274" width="2.85546875" style="129" customWidth="1"/>
    <col min="9275" max="9275" width="2.7109375" style="129" customWidth="1"/>
    <col min="9276" max="9276" width="3.85546875" style="129" customWidth="1"/>
    <col min="9277" max="9277" width="2.7109375" style="129" customWidth="1"/>
    <col min="9278" max="9278" width="3.7109375" style="129" customWidth="1"/>
    <col min="9279" max="9279" width="2.7109375" style="129" customWidth="1"/>
    <col min="9280" max="9280" width="3" style="129" customWidth="1"/>
    <col min="9281" max="9283" width="2.85546875" style="129" customWidth="1"/>
    <col min="9284" max="9284" width="3.28515625" style="129" customWidth="1"/>
    <col min="9285" max="9285" width="3.140625" style="129" customWidth="1"/>
    <col min="9286" max="9288" width="3.28515625" style="129" customWidth="1"/>
    <col min="9289" max="9289" width="3" style="129" customWidth="1"/>
    <col min="9290" max="9290" width="3.140625" style="129" customWidth="1"/>
    <col min="9291" max="9291" width="3.5703125" style="129" customWidth="1"/>
    <col min="9292" max="9293" width="2.85546875" style="129" customWidth="1"/>
    <col min="9294" max="9294" width="3.42578125" style="129" customWidth="1"/>
    <col min="9295" max="9295" width="2.7109375" style="129" customWidth="1"/>
    <col min="9296" max="9296" width="2.28515625" style="129" customWidth="1"/>
    <col min="9297" max="9514" width="11.42578125" style="129"/>
    <col min="9515" max="9515" width="1.42578125" style="129" customWidth="1"/>
    <col min="9516" max="9516" width="4.28515625" style="129" customWidth="1"/>
    <col min="9517" max="9517" width="2.85546875" style="129" customWidth="1"/>
    <col min="9518" max="9518" width="3.42578125" style="129" customWidth="1"/>
    <col min="9519" max="9519" width="3.140625" style="129" customWidth="1"/>
    <col min="9520" max="9520" width="3.42578125" style="129" customWidth="1"/>
    <col min="9521" max="9521" width="3.5703125" style="129" customWidth="1"/>
    <col min="9522" max="9522" width="3.7109375" style="129" customWidth="1"/>
    <col min="9523" max="9523" width="3.140625" style="129" customWidth="1"/>
    <col min="9524" max="9524" width="3.28515625" style="129" customWidth="1"/>
    <col min="9525" max="9527" width="3.42578125" style="129" customWidth="1"/>
    <col min="9528" max="9528" width="3" style="129" customWidth="1"/>
    <col min="9529" max="9529" width="2.7109375" style="129" customWidth="1"/>
    <col min="9530" max="9530" width="2.85546875" style="129" customWidth="1"/>
    <col min="9531" max="9531" width="2.7109375" style="129" customWidth="1"/>
    <col min="9532" max="9532" width="3.85546875" style="129" customWidth="1"/>
    <col min="9533" max="9533" width="2.7109375" style="129" customWidth="1"/>
    <col min="9534" max="9534" width="3.7109375" style="129" customWidth="1"/>
    <col min="9535" max="9535" width="2.7109375" style="129" customWidth="1"/>
    <col min="9536" max="9536" width="3" style="129" customWidth="1"/>
    <col min="9537" max="9539" width="2.85546875" style="129" customWidth="1"/>
    <col min="9540" max="9540" width="3.28515625" style="129" customWidth="1"/>
    <col min="9541" max="9541" width="3.140625" style="129" customWidth="1"/>
    <col min="9542" max="9544" width="3.28515625" style="129" customWidth="1"/>
    <col min="9545" max="9545" width="3" style="129" customWidth="1"/>
    <col min="9546" max="9546" width="3.140625" style="129" customWidth="1"/>
    <col min="9547" max="9547" width="3.5703125" style="129" customWidth="1"/>
    <col min="9548" max="9549" width="2.85546875" style="129" customWidth="1"/>
    <col min="9550" max="9550" width="3.42578125" style="129" customWidth="1"/>
    <col min="9551" max="9551" width="2.7109375" style="129" customWidth="1"/>
    <col min="9552" max="9552" width="2.28515625" style="129" customWidth="1"/>
    <col min="9553" max="9770" width="11.42578125" style="129"/>
    <col min="9771" max="9771" width="1.42578125" style="129" customWidth="1"/>
    <col min="9772" max="9772" width="4.28515625" style="129" customWidth="1"/>
    <col min="9773" max="9773" width="2.85546875" style="129" customWidth="1"/>
    <col min="9774" max="9774" width="3.42578125" style="129" customWidth="1"/>
    <col min="9775" max="9775" width="3.140625" style="129" customWidth="1"/>
    <col min="9776" max="9776" width="3.42578125" style="129" customWidth="1"/>
    <col min="9777" max="9777" width="3.5703125" style="129" customWidth="1"/>
    <col min="9778" max="9778" width="3.7109375" style="129" customWidth="1"/>
    <col min="9779" max="9779" width="3.140625" style="129" customWidth="1"/>
    <col min="9780" max="9780" width="3.28515625" style="129" customWidth="1"/>
    <col min="9781" max="9783" width="3.42578125" style="129" customWidth="1"/>
    <col min="9784" max="9784" width="3" style="129" customWidth="1"/>
    <col min="9785" max="9785" width="2.7109375" style="129" customWidth="1"/>
    <col min="9786" max="9786" width="2.85546875" style="129" customWidth="1"/>
    <col min="9787" max="9787" width="2.7109375" style="129" customWidth="1"/>
    <col min="9788" max="9788" width="3.85546875" style="129" customWidth="1"/>
    <col min="9789" max="9789" width="2.7109375" style="129" customWidth="1"/>
    <col min="9790" max="9790" width="3.7109375" style="129" customWidth="1"/>
    <col min="9791" max="9791" width="2.7109375" style="129" customWidth="1"/>
    <col min="9792" max="9792" width="3" style="129" customWidth="1"/>
    <col min="9793" max="9795" width="2.85546875" style="129" customWidth="1"/>
    <col min="9796" max="9796" width="3.28515625" style="129" customWidth="1"/>
    <col min="9797" max="9797" width="3.140625" style="129" customWidth="1"/>
    <col min="9798" max="9800" width="3.28515625" style="129" customWidth="1"/>
    <col min="9801" max="9801" width="3" style="129" customWidth="1"/>
    <col min="9802" max="9802" width="3.140625" style="129" customWidth="1"/>
    <col min="9803" max="9803" width="3.5703125" style="129" customWidth="1"/>
    <col min="9804" max="9805" width="2.85546875" style="129" customWidth="1"/>
    <col min="9806" max="9806" width="3.42578125" style="129" customWidth="1"/>
    <col min="9807" max="9807" width="2.7109375" style="129" customWidth="1"/>
    <col min="9808" max="9808" width="2.28515625" style="129" customWidth="1"/>
    <col min="9809" max="10026" width="11.42578125" style="129"/>
    <col min="10027" max="10027" width="1.42578125" style="129" customWidth="1"/>
    <col min="10028" max="10028" width="4.28515625" style="129" customWidth="1"/>
    <col min="10029" max="10029" width="2.85546875" style="129" customWidth="1"/>
    <col min="10030" max="10030" width="3.42578125" style="129" customWidth="1"/>
    <col min="10031" max="10031" width="3.140625" style="129" customWidth="1"/>
    <col min="10032" max="10032" width="3.42578125" style="129" customWidth="1"/>
    <col min="10033" max="10033" width="3.5703125" style="129" customWidth="1"/>
    <col min="10034" max="10034" width="3.7109375" style="129" customWidth="1"/>
    <col min="10035" max="10035" width="3.140625" style="129" customWidth="1"/>
    <col min="10036" max="10036" width="3.28515625" style="129" customWidth="1"/>
    <col min="10037" max="10039" width="3.42578125" style="129" customWidth="1"/>
    <col min="10040" max="10040" width="3" style="129" customWidth="1"/>
    <col min="10041" max="10041" width="2.7109375" style="129" customWidth="1"/>
    <col min="10042" max="10042" width="2.85546875" style="129" customWidth="1"/>
    <col min="10043" max="10043" width="2.7109375" style="129" customWidth="1"/>
    <col min="10044" max="10044" width="3.85546875" style="129" customWidth="1"/>
    <col min="10045" max="10045" width="2.7109375" style="129" customWidth="1"/>
    <col min="10046" max="10046" width="3.7109375" style="129" customWidth="1"/>
    <col min="10047" max="10047" width="2.7109375" style="129" customWidth="1"/>
    <col min="10048" max="10048" width="3" style="129" customWidth="1"/>
    <col min="10049" max="10051" width="2.85546875" style="129" customWidth="1"/>
    <col min="10052" max="10052" width="3.28515625" style="129" customWidth="1"/>
    <col min="10053" max="10053" width="3.140625" style="129" customWidth="1"/>
    <col min="10054" max="10056" width="3.28515625" style="129" customWidth="1"/>
    <col min="10057" max="10057" width="3" style="129" customWidth="1"/>
    <col min="10058" max="10058" width="3.140625" style="129" customWidth="1"/>
    <col min="10059" max="10059" width="3.5703125" style="129" customWidth="1"/>
    <col min="10060" max="10061" width="2.85546875" style="129" customWidth="1"/>
    <col min="10062" max="10062" width="3.42578125" style="129" customWidth="1"/>
    <col min="10063" max="10063" width="2.7109375" style="129" customWidth="1"/>
    <col min="10064" max="10064" width="2.28515625" style="129" customWidth="1"/>
    <col min="10065" max="10282" width="11.42578125" style="129"/>
    <col min="10283" max="10283" width="1.42578125" style="129" customWidth="1"/>
    <col min="10284" max="10284" width="4.28515625" style="129" customWidth="1"/>
    <col min="10285" max="10285" width="2.85546875" style="129" customWidth="1"/>
    <col min="10286" max="10286" width="3.42578125" style="129" customWidth="1"/>
    <col min="10287" max="10287" width="3.140625" style="129" customWidth="1"/>
    <col min="10288" max="10288" width="3.42578125" style="129" customWidth="1"/>
    <col min="10289" max="10289" width="3.5703125" style="129" customWidth="1"/>
    <col min="10290" max="10290" width="3.7109375" style="129" customWidth="1"/>
    <col min="10291" max="10291" width="3.140625" style="129" customWidth="1"/>
    <col min="10292" max="10292" width="3.28515625" style="129" customWidth="1"/>
    <col min="10293" max="10295" width="3.42578125" style="129" customWidth="1"/>
    <col min="10296" max="10296" width="3" style="129" customWidth="1"/>
    <col min="10297" max="10297" width="2.7109375" style="129" customWidth="1"/>
    <col min="10298" max="10298" width="2.85546875" style="129" customWidth="1"/>
    <col min="10299" max="10299" width="2.7109375" style="129" customWidth="1"/>
    <col min="10300" max="10300" width="3.85546875" style="129" customWidth="1"/>
    <col min="10301" max="10301" width="2.7109375" style="129" customWidth="1"/>
    <col min="10302" max="10302" width="3.7109375" style="129" customWidth="1"/>
    <col min="10303" max="10303" width="2.7109375" style="129" customWidth="1"/>
    <col min="10304" max="10304" width="3" style="129" customWidth="1"/>
    <col min="10305" max="10307" width="2.85546875" style="129" customWidth="1"/>
    <col min="10308" max="10308" width="3.28515625" style="129" customWidth="1"/>
    <col min="10309" max="10309" width="3.140625" style="129" customWidth="1"/>
    <col min="10310" max="10312" width="3.28515625" style="129" customWidth="1"/>
    <col min="10313" max="10313" width="3" style="129" customWidth="1"/>
    <col min="10314" max="10314" width="3.140625" style="129" customWidth="1"/>
    <col min="10315" max="10315" width="3.5703125" style="129" customWidth="1"/>
    <col min="10316" max="10317" width="2.85546875" style="129" customWidth="1"/>
    <col min="10318" max="10318" width="3.42578125" style="129" customWidth="1"/>
    <col min="10319" max="10319" width="2.7109375" style="129" customWidth="1"/>
    <col min="10320" max="10320" width="2.28515625" style="129" customWidth="1"/>
    <col min="10321" max="10538" width="11.42578125" style="129"/>
    <col min="10539" max="10539" width="1.42578125" style="129" customWidth="1"/>
    <col min="10540" max="10540" width="4.28515625" style="129" customWidth="1"/>
    <col min="10541" max="10541" width="2.85546875" style="129" customWidth="1"/>
    <col min="10542" max="10542" width="3.42578125" style="129" customWidth="1"/>
    <col min="10543" max="10543" width="3.140625" style="129" customWidth="1"/>
    <col min="10544" max="10544" width="3.42578125" style="129" customWidth="1"/>
    <col min="10545" max="10545" width="3.5703125" style="129" customWidth="1"/>
    <col min="10546" max="10546" width="3.7109375" style="129" customWidth="1"/>
    <col min="10547" max="10547" width="3.140625" style="129" customWidth="1"/>
    <col min="10548" max="10548" width="3.28515625" style="129" customWidth="1"/>
    <col min="10549" max="10551" width="3.42578125" style="129" customWidth="1"/>
    <col min="10552" max="10552" width="3" style="129" customWidth="1"/>
    <col min="10553" max="10553" width="2.7109375" style="129" customWidth="1"/>
    <col min="10554" max="10554" width="2.85546875" style="129" customWidth="1"/>
    <col min="10555" max="10555" width="2.7109375" style="129" customWidth="1"/>
    <col min="10556" max="10556" width="3.85546875" style="129" customWidth="1"/>
    <col min="10557" max="10557" width="2.7109375" style="129" customWidth="1"/>
    <col min="10558" max="10558" width="3.7109375" style="129" customWidth="1"/>
    <col min="10559" max="10559" width="2.7109375" style="129" customWidth="1"/>
    <col min="10560" max="10560" width="3" style="129" customWidth="1"/>
    <col min="10561" max="10563" width="2.85546875" style="129" customWidth="1"/>
    <col min="10564" max="10564" width="3.28515625" style="129" customWidth="1"/>
    <col min="10565" max="10565" width="3.140625" style="129" customWidth="1"/>
    <col min="10566" max="10568" width="3.28515625" style="129" customWidth="1"/>
    <col min="10569" max="10569" width="3" style="129" customWidth="1"/>
    <col min="10570" max="10570" width="3.140625" style="129" customWidth="1"/>
    <col min="10571" max="10571" width="3.5703125" style="129" customWidth="1"/>
    <col min="10572" max="10573" width="2.85546875" style="129" customWidth="1"/>
    <col min="10574" max="10574" width="3.42578125" style="129" customWidth="1"/>
    <col min="10575" max="10575" width="2.7109375" style="129" customWidth="1"/>
    <col min="10576" max="10576" width="2.28515625" style="129" customWidth="1"/>
    <col min="10577" max="10794" width="11.42578125" style="129"/>
    <col min="10795" max="10795" width="1.42578125" style="129" customWidth="1"/>
    <col min="10796" max="10796" width="4.28515625" style="129" customWidth="1"/>
    <col min="10797" max="10797" width="2.85546875" style="129" customWidth="1"/>
    <col min="10798" max="10798" width="3.42578125" style="129" customWidth="1"/>
    <col min="10799" max="10799" width="3.140625" style="129" customWidth="1"/>
    <col min="10800" max="10800" width="3.42578125" style="129" customWidth="1"/>
    <col min="10801" max="10801" width="3.5703125" style="129" customWidth="1"/>
    <col min="10802" max="10802" width="3.7109375" style="129" customWidth="1"/>
    <col min="10803" max="10803" width="3.140625" style="129" customWidth="1"/>
    <col min="10804" max="10804" width="3.28515625" style="129" customWidth="1"/>
    <col min="10805" max="10807" width="3.42578125" style="129" customWidth="1"/>
    <col min="10808" max="10808" width="3" style="129" customWidth="1"/>
    <col min="10809" max="10809" width="2.7109375" style="129" customWidth="1"/>
    <col min="10810" max="10810" width="2.85546875" style="129" customWidth="1"/>
    <col min="10811" max="10811" width="2.7109375" style="129" customWidth="1"/>
    <col min="10812" max="10812" width="3.85546875" style="129" customWidth="1"/>
    <col min="10813" max="10813" width="2.7109375" style="129" customWidth="1"/>
    <col min="10814" max="10814" width="3.7109375" style="129" customWidth="1"/>
    <col min="10815" max="10815" width="2.7109375" style="129" customWidth="1"/>
    <col min="10816" max="10816" width="3" style="129" customWidth="1"/>
    <col min="10817" max="10819" width="2.85546875" style="129" customWidth="1"/>
    <col min="10820" max="10820" width="3.28515625" style="129" customWidth="1"/>
    <col min="10821" max="10821" width="3.140625" style="129" customWidth="1"/>
    <col min="10822" max="10824" width="3.28515625" style="129" customWidth="1"/>
    <col min="10825" max="10825" width="3" style="129" customWidth="1"/>
    <col min="10826" max="10826" width="3.140625" style="129" customWidth="1"/>
    <col min="10827" max="10827" width="3.5703125" style="129" customWidth="1"/>
    <col min="10828" max="10829" width="2.85546875" style="129" customWidth="1"/>
    <col min="10830" max="10830" width="3.42578125" style="129" customWidth="1"/>
    <col min="10831" max="10831" width="2.7109375" style="129" customWidth="1"/>
    <col min="10832" max="10832" width="2.28515625" style="129" customWidth="1"/>
    <col min="10833" max="11050" width="11.42578125" style="129"/>
    <col min="11051" max="11051" width="1.42578125" style="129" customWidth="1"/>
    <col min="11052" max="11052" width="4.28515625" style="129" customWidth="1"/>
    <col min="11053" max="11053" width="2.85546875" style="129" customWidth="1"/>
    <col min="11054" max="11054" width="3.42578125" style="129" customWidth="1"/>
    <col min="11055" max="11055" width="3.140625" style="129" customWidth="1"/>
    <col min="11056" max="11056" width="3.42578125" style="129" customWidth="1"/>
    <col min="11057" max="11057" width="3.5703125" style="129" customWidth="1"/>
    <col min="11058" max="11058" width="3.7109375" style="129" customWidth="1"/>
    <col min="11059" max="11059" width="3.140625" style="129" customWidth="1"/>
    <col min="11060" max="11060" width="3.28515625" style="129" customWidth="1"/>
    <col min="11061" max="11063" width="3.42578125" style="129" customWidth="1"/>
    <col min="11064" max="11064" width="3" style="129" customWidth="1"/>
    <col min="11065" max="11065" width="2.7109375" style="129" customWidth="1"/>
    <col min="11066" max="11066" width="2.85546875" style="129" customWidth="1"/>
    <col min="11067" max="11067" width="2.7109375" style="129" customWidth="1"/>
    <col min="11068" max="11068" width="3.85546875" style="129" customWidth="1"/>
    <col min="11069" max="11069" width="2.7109375" style="129" customWidth="1"/>
    <col min="11070" max="11070" width="3.7109375" style="129" customWidth="1"/>
    <col min="11071" max="11071" width="2.7109375" style="129" customWidth="1"/>
    <col min="11072" max="11072" width="3" style="129" customWidth="1"/>
    <col min="11073" max="11075" width="2.85546875" style="129" customWidth="1"/>
    <col min="11076" max="11076" width="3.28515625" style="129" customWidth="1"/>
    <col min="11077" max="11077" width="3.140625" style="129" customWidth="1"/>
    <col min="11078" max="11080" width="3.28515625" style="129" customWidth="1"/>
    <col min="11081" max="11081" width="3" style="129" customWidth="1"/>
    <col min="11082" max="11082" width="3.140625" style="129" customWidth="1"/>
    <col min="11083" max="11083" width="3.5703125" style="129" customWidth="1"/>
    <col min="11084" max="11085" width="2.85546875" style="129" customWidth="1"/>
    <col min="11086" max="11086" width="3.42578125" style="129" customWidth="1"/>
    <col min="11087" max="11087" width="2.7109375" style="129" customWidth="1"/>
    <col min="11088" max="11088" width="2.28515625" style="129" customWidth="1"/>
    <col min="11089" max="11306" width="11.42578125" style="129"/>
    <col min="11307" max="11307" width="1.42578125" style="129" customWidth="1"/>
    <col min="11308" max="11308" width="4.28515625" style="129" customWidth="1"/>
    <col min="11309" max="11309" width="2.85546875" style="129" customWidth="1"/>
    <col min="11310" max="11310" width="3.42578125" style="129" customWidth="1"/>
    <col min="11311" max="11311" width="3.140625" style="129" customWidth="1"/>
    <col min="11312" max="11312" width="3.42578125" style="129" customWidth="1"/>
    <col min="11313" max="11313" width="3.5703125" style="129" customWidth="1"/>
    <col min="11314" max="11314" width="3.7109375" style="129" customWidth="1"/>
    <col min="11315" max="11315" width="3.140625" style="129" customWidth="1"/>
    <col min="11316" max="11316" width="3.28515625" style="129" customWidth="1"/>
    <col min="11317" max="11319" width="3.42578125" style="129" customWidth="1"/>
    <col min="11320" max="11320" width="3" style="129" customWidth="1"/>
    <col min="11321" max="11321" width="2.7109375" style="129" customWidth="1"/>
    <col min="11322" max="11322" width="2.85546875" style="129" customWidth="1"/>
    <col min="11323" max="11323" width="2.7109375" style="129" customWidth="1"/>
    <col min="11324" max="11324" width="3.85546875" style="129" customWidth="1"/>
    <col min="11325" max="11325" width="2.7109375" style="129" customWidth="1"/>
    <col min="11326" max="11326" width="3.7109375" style="129" customWidth="1"/>
    <col min="11327" max="11327" width="2.7109375" style="129" customWidth="1"/>
    <col min="11328" max="11328" width="3" style="129" customWidth="1"/>
    <col min="11329" max="11331" width="2.85546875" style="129" customWidth="1"/>
    <col min="11332" max="11332" width="3.28515625" style="129" customWidth="1"/>
    <col min="11333" max="11333" width="3.140625" style="129" customWidth="1"/>
    <col min="11334" max="11336" width="3.28515625" style="129" customWidth="1"/>
    <col min="11337" max="11337" width="3" style="129" customWidth="1"/>
    <col min="11338" max="11338" width="3.140625" style="129" customWidth="1"/>
    <col min="11339" max="11339" width="3.5703125" style="129" customWidth="1"/>
    <col min="11340" max="11341" width="2.85546875" style="129" customWidth="1"/>
    <col min="11342" max="11342" width="3.42578125" style="129" customWidth="1"/>
    <col min="11343" max="11343" width="2.7109375" style="129" customWidth="1"/>
    <col min="11344" max="11344" width="2.28515625" style="129" customWidth="1"/>
    <col min="11345" max="11562" width="11.42578125" style="129"/>
    <col min="11563" max="11563" width="1.42578125" style="129" customWidth="1"/>
    <col min="11564" max="11564" width="4.28515625" style="129" customWidth="1"/>
    <col min="11565" max="11565" width="2.85546875" style="129" customWidth="1"/>
    <col min="11566" max="11566" width="3.42578125" style="129" customWidth="1"/>
    <col min="11567" max="11567" width="3.140625" style="129" customWidth="1"/>
    <col min="11568" max="11568" width="3.42578125" style="129" customWidth="1"/>
    <col min="11569" max="11569" width="3.5703125" style="129" customWidth="1"/>
    <col min="11570" max="11570" width="3.7109375" style="129" customWidth="1"/>
    <col min="11571" max="11571" width="3.140625" style="129" customWidth="1"/>
    <col min="11572" max="11572" width="3.28515625" style="129" customWidth="1"/>
    <col min="11573" max="11575" width="3.42578125" style="129" customWidth="1"/>
    <col min="11576" max="11576" width="3" style="129" customWidth="1"/>
    <col min="11577" max="11577" width="2.7109375" style="129" customWidth="1"/>
    <col min="11578" max="11578" width="2.85546875" style="129" customWidth="1"/>
    <col min="11579" max="11579" width="2.7109375" style="129" customWidth="1"/>
    <col min="11580" max="11580" width="3.85546875" style="129" customWidth="1"/>
    <col min="11581" max="11581" width="2.7109375" style="129" customWidth="1"/>
    <col min="11582" max="11582" width="3.7109375" style="129" customWidth="1"/>
    <col min="11583" max="11583" width="2.7109375" style="129" customWidth="1"/>
    <col min="11584" max="11584" width="3" style="129" customWidth="1"/>
    <col min="11585" max="11587" width="2.85546875" style="129" customWidth="1"/>
    <col min="11588" max="11588" width="3.28515625" style="129" customWidth="1"/>
    <col min="11589" max="11589" width="3.140625" style="129" customWidth="1"/>
    <col min="11590" max="11592" width="3.28515625" style="129" customWidth="1"/>
    <col min="11593" max="11593" width="3" style="129" customWidth="1"/>
    <col min="11594" max="11594" width="3.140625" style="129" customWidth="1"/>
    <col min="11595" max="11595" width="3.5703125" style="129" customWidth="1"/>
    <col min="11596" max="11597" width="2.85546875" style="129" customWidth="1"/>
    <col min="11598" max="11598" width="3.42578125" style="129" customWidth="1"/>
    <col min="11599" max="11599" width="2.7109375" style="129" customWidth="1"/>
    <col min="11600" max="11600" width="2.28515625" style="129" customWidth="1"/>
    <col min="11601" max="11818" width="11.42578125" style="129"/>
    <col min="11819" max="11819" width="1.42578125" style="129" customWidth="1"/>
    <col min="11820" max="11820" width="4.28515625" style="129" customWidth="1"/>
    <col min="11821" max="11821" width="2.85546875" style="129" customWidth="1"/>
    <col min="11822" max="11822" width="3.42578125" style="129" customWidth="1"/>
    <col min="11823" max="11823" width="3.140625" style="129" customWidth="1"/>
    <col min="11824" max="11824" width="3.42578125" style="129" customWidth="1"/>
    <col min="11825" max="11825" width="3.5703125" style="129" customWidth="1"/>
    <col min="11826" max="11826" width="3.7109375" style="129" customWidth="1"/>
    <col min="11827" max="11827" width="3.140625" style="129" customWidth="1"/>
    <col min="11828" max="11828" width="3.28515625" style="129" customWidth="1"/>
    <col min="11829" max="11831" width="3.42578125" style="129" customWidth="1"/>
    <col min="11832" max="11832" width="3" style="129" customWidth="1"/>
    <col min="11833" max="11833" width="2.7109375" style="129" customWidth="1"/>
    <col min="11834" max="11834" width="2.85546875" style="129" customWidth="1"/>
    <col min="11835" max="11835" width="2.7109375" style="129" customWidth="1"/>
    <col min="11836" max="11836" width="3.85546875" style="129" customWidth="1"/>
    <col min="11837" max="11837" width="2.7109375" style="129" customWidth="1"/>
    <col min="11838" max="11838" width="3.7109375" style="129" customWidth="1"/>
    <col min="11839" max="11839" width="2.7109375" style="129" customWidth="1"/>
    <col min="11840" max="11840" width="3" style="129" customWidth="1"/>
    <col min="11841" max="11843" width="2.85546875" style="129" customWidth="1"/>
    <col min="11844" max="11844" width="3.28515625" style="129" customWidth="1"/>
    <col min="11845" max="11845" width="3.140625" style="129" customWidth="1"/>
    <col min="11846" max="11848" width="3.28515625" style="129" customWidth="1"/>
    <col min="11849" max="11849" width="3" style="129" customWidth="1"/>
    <col min="11850" max="11850" width="3.140625" style="129" customWidth="1"/>
    <col min="11851" max="11851" width="3.5703125" style="129" customWidth="1"/>
    <col min="11852" max="11853" width="2.85546875" style="129" customWidth="1"/>
    <col min="11854" max="11854" width="3.42578125" style="129" customWidth="1"/>
    <col min="11855" max="11855" width="2.7109375" style="129" customWidth="1"/>
    <col min="11856" max="11856" width="2.28515625" style="129" customWidth="1"/>
    <col min="11857" max="12074" width="11.42578125" style="129"/>
    <col min="12075" max="12075" width="1.42578125" style="129" customWidth="1"/>
    <col min="12076" max="12076" width="4.28515625" style="129" customWidth="1"/>
    <col min="12077" max="12077" width="2.85546875" style="129" customWidth="1"/>
    <col min="12078" max="12078" width="3.42578125" style="129" customWidth="1"/>
    <col min="12079" max="12079" width="3.140625" style="129" customWidth="1"/>
    <col min="12080" max="12080" width="3.42578125" style="129" customWidth="1"/>
    <col min="12081" max="12081" width="3.5703125" style="129" customWidth="1"/>
    <col min="12082" max="12082" width="3.7109375" style="129" customWidth="1"/>
    <col min="12083" max="12083" width="3.140625" style="129" customWidth="1"/>
    <col min="12084" max="12084" width="3.28515625" style="129" customWidth="1"/>
    <col min="12085" max="12087" width="3.42578125" style="129" customWidth="1"/>
    <col min="12088" max="12088" width="3" style="129" customWidth="1"/>
    <col min="12089" max="12089" width="2.7109375" style="129" customWidth="1"/>
    <col min="12090" max="12090" width="2.85546875" style="129" customWidth="1"/>
    <col min="12091" max="12091" width="2.7109375" style="129" customWidth="1"/>
    <col min="12092" max="12092" width="3.85546875" style="129" customWidth="1"/>
    <col min="12093" max="12093" width="2.7109375" style="129" customWidth="1"/>
    <col min="12094" max="12094" width="3.7109375" style="129" customWidth="1"/>
    <col min="12095" max="12095" width="2.7109375" style="129" customWidth="1"/>
    <col min="12096" max="12096" width="3" style="129" customWidth="1"/>
    <col min="12097" max="12099" width="2.85546875" style="129" customWidth="1"/>
    <col min="12100" max="12100" width="3.28515625" style="129" customWidth="1"/>
    <col min="12101" max="12101" width="3.140625" style="129" customWidth="1"/>
    <col min="12102" max="12104" width="3.28515625" style="129" customWidth="1"/>
    <col min="12105" max="12105" width="3" style="129" customWidth="1"/>
    <col min="12106" max="12106" width="3.140625" style="129" customWidth="1"/>
    <col min="12107" max="12107" width="3.5703125" style="129" customWidth="1"/>
    <col min="12108" max="12109" width="2.85546875" style="129" customWidth="1"/>
    <col min="12110" max="12110" width="3.42578125" style="129" customWidth="1"/>
    <col min="12111" max="12111" width="2.7109375" style="129" customWidth="1"/>
    <col min="12112" max="12112" width="2.28515625" style="129" customWidth="1"/>
    <col min="12113" max="12330" width="11.42578125" style="129"/>
    <col min="12331" max="12331" width="1.42578125" style="129" customWidth="1"/>
    <col min="12332" max="12332" width="4.28515625" style="129" customWidth="1"/>
    <col min="12333" max="12333" width="2.85546875" style="129" customWidth="1"/>
    <col min="12334" max="12334" width="3.42578125" style="129" customWidth="1"/>
    <col min="12335" max="12335" width="3.140625" style="129" customWidth="1"/>
    <col min="12336" max="12336" width="3.42578125" style="129" customWidth="1"/>
    <col min="12337" max="12337" width="3.5703125" style="129" customWidth="1"/>
    <col min="12338" max="12338" width="3.7109375" style="129" customWidth="1"/>
    <col min="12339" max="12339" width="3.140625" style="129" customWidth="1"/>
    <col min="12340" max="12340" width="3.28515625" style="129" customWidth="1"/>
    <col min="12341" max="12343" width="3.42578125" style="129" customWidth="1"/>
    <col min="12344" max="12344" width="3" style="129" customWidth="1"/>
    <col min="12345" max="12345" width="2.7109375" style="129" customWidth="1"/>
    <col min="12346" max="12346" width="2.85546875" style="129" customWidth="1"/>
    <col min="12347" max="12347" width="2.7109375" style="129" customWidth="1"/>
    <col min="12348" max="12348" width="3.85546875" style="129" customWidth="1"/>
    <col min="12349" max="12349" width="2.7109375" style="129" customWidth="1"/>
    <col min="12350" max="12350" width="3.7109375" style="129" customWidth="1"/>
    <col min="12351" max="12351" width="2.7109375" style="129" customWidth="1"/>
    <col min="12352" max="12352" width="3" style="129" customWidth="1"/>
    <col min="12353" max="12355" width="2.85546875" style="129" customWidth="1"/>
    <col min="12356" max="12356" width="3.28515625" style="129" customWidth="1"/>
    <col min="12357" max="12357" width="3.140625" style="129" customWidth="1"/>
    <col min="12358" max="12360" width="3.28515625" style="129" customWidth="1"/>
    <col min="12361" max="12361" width="3" style="129" customWidth="1"/>
    <col min="12362" max="12362" width="3.140625" style="129" customWidth="1"/>
    <col min="12363" max="12363" width="3.5703125" style="129" customWidth="1"/>
    <col min="12364" max="12365" width="2.85546875" style="129" customWidth="1"/>
    <col min="12366" max="12366" width="3.42578125" style="129" customWidth="1"/>
    <col min="12367" max="12367" width="2.7109375" style="129" customWidth="1"/>
    <col min="12368" max="12368" width="2.28515625" style="129" customWidth="1"/>
    <col min="12369" max="12586" width="11.42578125" style="129"/>
    <col min="12587" max="12587" width="1.42578125" style="129" customWidth="1"/>
    <col min="12588" max="12588" width="4.28515625" style="129" customWidth="1"/>
    <col min="12589" max="12589" width="2.85546875" style="129" customWidth="1"/>
    <col min="12590" max="12590" width="3.42578125" style="129" customWidth="1"/>
    <col min="12591" max="12591" width="3.140625" style="129" customWidth="1"/>
    <col min="12592" max="12592" width="3.42578125" style="129" customWidth="1"/>
    <col min="12593" max="12593" width="3.5703125" style="129" customWidth="1"/>
    <col min="12594" max="12594" width="3.7109375" style="129" customWidth="1"/>
    <col min="12595" max="12595" width="3.140625" style="129" customWidth="1"/>
    <col min="12596" max="12596" width="3.28515625" style="129" customWidth="1"/>
    <col min="12597" max="12599" width="3.42578125" style="129" customWidth="1"/>
    <col min="12600" max="12600" width="3" style="129" customWidth="1"/>
    <col min="12601" max="12601" width="2.7109375" style="129" customWidth="1"/>
    <col min="12602" max="12602" width="2.85546875" style="129" customWidth="1"/>
    <col min="12603" max="12603" width="2.7109375" style="129" customWidth="1"/>
    <col min="12604" max="12604" width="3.85546875" style="129" customWidth="1"/>
    <col min="12605" max="12605" width="2.7109375" style="129" customWidth="1"/>
    <col min="12606" max="12606" width="3.7109375" style="129" customWidth="1"/>
    <col min="12607" max="12607" width="2.7109375" style="129" customWidth="1"/>
    <col min="12608" max="12608" width="3" style="129" customWidth="1"/>
    <col min="12609" max="12611" width="2.85546875" style="129" customWidth="1"/>
    <col min="12612" max="12612" width="3.28515625" style="129" customWidth="1"/>
    <col min="12613" max="12613" width="3.140625" style="129" customWidth="1"/>
    <col min="12614" max="12616" width="3.28515625" style="129" customWidth="1"/>
    <col min="12617" max="12617" width="3" style="129" customWidth="1"/>
    <col min="12618" max="12618" width="3.140625" style="129" customWidth="1"/>
    <col min="12619" max="12619" width="3.5703125" style="129" customWidth="1"/>
    <col min="12620" max="12621" width="2.85546875" style="129" customWidth="1"/>
    <col min="12622" max="12622" width="3.42578125" style="129" customWidth="1"/>
    <col min="12623" max="12623" width="2.7109375" style="129" customWidth="1"/>
    <col min="12624" max="12624" width="2.28515625" style="129" customWidth="1"/>
    <col min="12625" max="12842" width="11.42578125" style="129"/>
    <col min="12843" max="12843" width="1.42578125" style="129" customWidth="1"/>
    <col min="12844" max="12844" width="4.28515625" style="129" customWidth="1"/>
    <col min="12845" max="12845" width="2.85546875" style="129" customWidth="1"/>
    <col min="12846" max="12846" width="3.42578125" style="129" customWidth="1"/>
    <col min="12847" max="12847" width="3.140625" style="129" customWidth="1"/>
    <col min="12848" max="12848" width="3.42578125" style="129" customWidth="1"/>
    <col min="12849" max="12849" width="3.5703125" style="129" customWidth="1"/>
    <col min="12850" max="12850" width="3.7109375" style="129" customWidth="1"/>
    <col min="12851" max="12851" width="3.140625" style="129" customWidth="1"/>
    <col min="12852" max="12852" width="3.28515625" style="129" customWidth="1"/>
    <col min="12853" max="12855" width="3.42578125" style="129" customWidth="1"/>
    <col min="12856" max="12856" width="3" style="129" customWidth="1"/>
    <col min="12857" max="12857" width="2.7109375" style="129" customWidth="1"/>
    <col min="12858" max="12858" width="2.85546875" style="129" customWidth="1"/>
    <col min="12859" max="12859" width="2.7109375" style="129" customWidth="1"/>
    <col min="12860" max="12860" width="3.85546875" style="129" customWidth="1"/>
    <col min="12861" max="12861" width="2.7109375" style="129" customWidth="1"/>
    <col min="12862" max="12862" width="3.7109375" style="129" customWidth="1"/>
    <col min="12863" max="12863" width="2.7109375" style="129" customWidth="1"/>
    <col min="12864" max="12864" width="3" style="129" customWidth="1"/>
    <col min="12865" max="12867" width="2.85546875" style="129" customWidth="1"/>
    <col min="12868" max="12868" width="3.28515625" style="129" customWidth="1"/>
    <col min="12869" max="12869" width="3.140625" style="129" customWidth="1"/>
    <col min="12870" max="12872" width="3.28515625" style="129" customWidth="1"/>
    <col min="12873" max="12873" width="3" style="129" customWidth="1"/>
    <col min="12874" max="12874" width="3.140625" style="129" customWidth="1"/>
    <col min="12875" max="12875" width="3.5703125" style="129" customWidth="1"/>
    <col min="12876" max="12877" width="2.85546875" style="129" customWidth="1"/>
    <col min="12878" max="12878" width="3.42578125" style="129" customWidth="1"/>
    <col min="12879" max="12879" width="2.7109375" style="129" customWidth="1"/>
    <col min="12880" max="12880" width="2.28515625" style="129" customWidth="1"/>
    <col min="12881" max="13098" width="11.42578125" style="129"/>
    <col min="13099" max="13099" width="1.42578125" style="129" customWidth="1"/>
    <col min="13100" max="13100" width="4.28515625" style="129" customWidth="1"/>
    <col min="13101" max="13101" width="2.85546875" style="129" customWidth="1"/>
    <col min="13102" max="13102" width="3.42578125" style="129" customWidth="1"/>
    <col min="13103" max="13103" width="3.140625" style="129" customWidth="1"/>
    <col min="13104" max="13104" width="3.42578125" style="129" customWidth="1"/>
    <col min="13105" max="13105" width="3.5703125" style="129" customWidth="1"/>
    <col min="13106" max="13106" width="3.7109375" style="129" customWidth="1"/>
    <col min="13107" max="13107" width="3.140625" style="129" customWidth="1"/>
    <col min="13108" max="13108" width="3.28515625" style="129" customWidth="1"/>
    <col min="13109" max="13111" width="3.42578125" style="129" customWidth="1"/>
    <col min="13112" max="13112" width="3" style="129" customWidth="1"/>
    <col min="13113" max="13113" width="2.7109375" style="129" customWidth="1"/>
    <col min="13114" max="13114" width="2.85546875" style="129" customWidth="1"/>
    <col min="13115" max="13115" width="2.7109375" style="129" customWidth="1"/>
    <col min="13116" max="13116" width="3.85546875" style="129" customWidth="1"/>
    <col min="13117" max="13117" width="2.7109375" style="129" customWidth="1"/>
    <col min="13118" max="13118" width="3.7109375" style="129" customWidth="1"/>
    <col min="13119" max="13119" width="2.7109375" style="129" customWidth="1"/>
    <col min="13120" max="13120" width="3" style="129" customWidth="1"/>
    <col min="13121" max="13123" width="2.85546875" style="129" customWidth="1"/>
    <col min="13124" max="13124" width="3.28515625" style="129" customWidth="1"/>
    <col min="13125" max="13125" width="3.140625" style="129" customWidth="1"/>
    <col min="13126" max="13128" width="3.28515625" style="129" customWidth="1"/>
    <col min="13129" max="13129" width="3" style="129" customWidth="1"/>
    <col min="13130" max="13130" width="3.140625" style="129" customWidth="1"/>
    <col min="13131" max="13131" width="3.5703125" style="129" customWidth="1"/>
    <col min="13132" max="13133" width="2.85546875" style="129" customWidth="1"/>
    <col min="13134" max="13134" width="3.42578125" style="129" customWidth="1"/>
    <col min="13135" max="13135" width="2.7109375" style="129" customWidth="1"/>
    <col min="13136" max="13136" width="2.28515625" style="129" customWidth="1"/>
    <col min="13137" max="13354" width="11.42578125" style="129"/>
    <col min="13355" max="13355" width="1.42578125" style="129" customWidth="1"/>
    <col min="13356" max="13356" width="4.28515625" style="129" customWidth="1"/>
    <col min="13357" max="13357" width="2.85546875" style="129" customWidth="1"/>
    <col min="13358" max="13358" width="3.42578125" style="129" customWidth="1"/>
    <col min="13359" max="13359" width="3.140625" style="129" customWidth="1"/>
    <col min="13360" max="13360" width="3.42578125" style="129" customWidth="1"/>
    <col min="13361" max="13361" width="3.5703125" style="129" customWidth="1"/>
    <col min="13362" max="13362" width="3.7109375" style="129" customWidth="1"/>
    <col min="13363" max="13363" width="3.140625" style="129" customWidth="1"/>
    <col min="13364" max="13364" width="3.28515625" style="129" customWidth="1"/>
    <col min="13365" max="13367" width="3.42578125" style="129" customWidth="1"/>
    <col min="13368" max="13368" width="3" style="129" customWidth="1"/>
    <col min="13369" max="13369" width="2.7109375" style="129" customWidth="1"/>
    <col min="13370" max="13370" width="2.85546875" style="129" customWidth="1"/>
    <col min="13371" max="13371" width="2.7109375" style="129" customWidth="1"/>
    <col min="13372" max="13372" width="3.85546875" style="129" customWidth="1"/>
    <col min="13373" max="13373" width="2.7109375" style="129" customWidth="1"/>
    <col min="13374" max="13374" width="3.7109375" style="129" customWidth="1"/>
    <col min="13375" max="13375" width="2.7109375" style="129" customWidth="1"/>
    <col min="13376" max="13376" width="3" style="129" customWidth="1"/>
    <col min="13377" max="13379" width="2.85546875" style="129" customWidth="1"/>
    <col min="13380" max="13380" width="3.28515625" style="129" customWidth="1"/>
    <col min="13381" max="13381" width="3.140625" style="129" customWidth="1"/>
    <col min="13382" max="13384" width="3.28515625" style="129" customWidth="1"/>
    <col min="13385" max="13385" width="3" style="129" customWidth="1"/>
    <col min="13386" max="13386" width="3.140625" style="129" customWidth="1"/>
    <col min="13387" max="13387" width="3.5703125" style="129" customWidth="1"/>
    <col min="13388" max="13389" width="2.85546875" style="129" customWidth="1"/>
    <col min="13390" max="13390" width="3.42578125" style="129" customWidth="1"/>
    <col min="13391" max="13391" width="2.7109375" style="129" customWidth="1"/>
    <col min="13392" max="13392" width="2.28515625" style="129" customWidth="1"/>
    <col min="13393" max="13610" width="11.42578125" style="129"/>
    <col min="13611" max="13611" width="1.42578125" style="129" customWidth="1"/>
    <col min="13612" max="13612" width="4.28515625" style="129" customWidth="1"/>
    <col min="13613" max="13613" width="2.85546875" style="129" customWidth="1"/>
    <col min="13614" max="13614" width="3.42578125" style="129" customWidth="1"/>
    <col min="13615" max="13615" width="3.140625" style="129" customWidth="1"/>
    <col min="13616" max="13616" width="3.42578125" style="129" customWidth="1"/>
    <col min="13617" max="13617" width="3.5703125" style="129" customWidth="1"/>
    <col min="13618" max="13618" width="3.7109375" style="129" customWidth="1"/>
    <col min="13619" max="13619" width="3.140625" style="129" customWidth="1"/>
    <col min="13620" max="13620" width="3.28515625" style="129" customWidth="1"/>
    <col min="13621" max="13623" width="3.42578125" style="129" customWidth="1"/>
    <col min="13624" max="13624" width="3" style="129" customWidth="1"/>
    <col min="13625" max="13625" width="2.7109375" style="129" customWidth="1"/>
    <col min="13626" max="13626" width="2.85546875" style="129" customWidth="1"/>
    <col min="13627" max="13627" width="2.7109375" style="129" customWidth="1"/>
    <col min="13628" max="13628" width="3.85546875" style="129" customWidth="1"/>
    <col min="13629" max="13629" width="2.7109375" style="129" customWidth="1"/>
    <col min="13630" max="13630" width="3.7109375" style="129" customWidth="1"/>
    <col min="13631" max="13631" width="2.7109375" style="129" customWidth="1"/>
    <col min="13632" max="13632" width="3" style="129" customWidth="1"/>
    <col min="13633" max="13635" width="2.85546875" style="129" customWidth="1"/>
    <col min="13636" max="13636" width="3.28515625" style="129" customWidth="1"/>
    <col min="13637" max="13637" width="3.140625" style="129" customWidth="1"/>
    <col min="13638" max="13640" width="3.28515625" style="129" customWidth="1"/>
    <col min="13641" max="13641" width="3" style="129" customWidth="1"/>
    <col min="13642" max="13642" width="3.140625" style="129" customWidth="1"/>
    <col min="13643" max="13643" width="3.5703125" style="129" customWidth="1"/>
    <col min="13644" max="13645" width="2.85546875" style="129" customWidth="1"/>
    <col min="13646" max="13646" width="3.42578125" style="129" customWidth="1"/>
    <col min="13647" max="13647" width="2.7109375" style="129" customWidth="1"/>
    <col min="13648" max="13648" width="2.28515625" style="129" customWidth="1"/>
    <col min="13649" max="13866" width="11.42578125" style="129"/>
    <col min="13867" max="13867" width="1.42578125" style="129" customWidth="1"/>
    <col min="13868" max="13868" width="4.28515625" style="129" customWidth="1"/>
    <col min="13869" max="13869" width="2.85546875" style="129" customWidth="1"/>
    <col min="13870" max="13870" width="3.42578125" style="129" customWidth="1"/>
    <col min="13871" max="13871" width="3.140625" style="129" customWidth="1"/>
    <col min="13872" max="13872" width="3.42578125" style="129" customWidth="1"/>
    <col min="13873" max="13873" width="3.5703125" style="129" customWidth="1"/>
    <col min="13874" max="13874" width="3.7109375" style="129" customWidth="1"/>
    <col min="13875" max="13875" width="3.140625" style="129" customWidth="1"/>
    <col min="13876" max="13876" width="3.28515625" style="129" customWidth="1"/>
    <col min="13877" max="13879" width="3.42578125" style="129" customWidth="1"/>
    <col min="13880" max="13880" width="3" style="129" customWidth="1"/>
    <col min="13881" max="13881" width="2.7109375" style="129" customWidth="1"/>
    <col min="13882" max="13882" width="2.85546875" style="129" customWidth="1"/>
    <col min="13883" max="13883" width="2.7109375" style="129" customWidth="1"/>
    <col min="13884" max="13884" width="3.85546875" style="129" customWidth="1"/>
    <col min="13885" max="13885" width="2.7109375" style="129" customWidth="1"/>
    <col min="13886" max="13886" width="3.7109375" style="129" customWidth="1"/>
    <col min="13887" max="13887" width="2.7109375" style="129" customWidth="1"/>
    <col min="13888" max="13888" width="3" style="129" customWidth="1"/>
    <col min="13889" max="13891" width="2.85546875" style="129" customWidth="1"/>
    <col min="13892" max="13892" width="3.28515625" style="129" customWidth="1"/>
    <col min="13893" max="13893" width="3.140625" style="129" customWidth="1"/>
    <col min="13894" max="13896" width="3.28515625" style="129" customWidth="1"/>
    <col min="13897" max="13897" width="3" style="129" customWidth="1"/>
    <col min="13898" max="13898" width="3.140625" style="129" customWidth="1"/>
    <col min="13899" max="13899" width="3.5703125" style="129" customWidth="1"/>
    <col min="13900" max="13901" width="2.85546875" style="129" customWidth="1"/>
    <col min="13902" max="13902" width="3.42578125" style="129" customWidth="1"/>
    <col min="13903" max="13903" width="2.7109375" style="129" customWidth="1"/>
    <col min="13904" max="13904" width="2.28515625" style="129" customWidth="1"/>
    <col min="13905" max="14122" width="11.42578125" style="129"/>
    <col min="14123" max="14123" width="1.42578125" style="129" customWidth="1"/>
    <col min="14124" max="14124" width="4.28515625" style="129" customWidth="1"/>
    <col min="14125" max="14125" width="2.85546875" style="129" customWidth="1"/>
    <col min="14126" max="14126" width="3.42578125" style="129" customWidth="1"/>
    <col min="14127" max="14127" width="3.140625" style="129" customWidth="1"/>
    <col min="14128" max="14128" width="3.42578125" style="129" customWidth="1"/>
    <col min="14129" max="14129" width="3.5703125" style="129" customWidth="1"/>
    <col min="14130" max="14130" width="3.7109375" style="129" customWidth="1"/>
    <col min="14131" max="14131" width="3.140625" style="129" customWidth="1"/>
    <col min="14132" max="14132" width="3.28515625" style="129" customWidth="1"/>
    <col min="14133" max="14135" width="3.42578125" style="129" customWidth="1"/>
    <col min="14136" max="14136" width="3" style="129" customWidth="1"/>
    <col min="14137" max="14137" width="2.7109375" style="129" customWidth="1"/>
    <col min="14138" max="14138" width="2.85546875" style="129" customWidth="1"/>
    <col min="14139" max="14139" width="2.7109375" style="129" customWidth="1"/>
    <col min="14140" max="14140" width="3.85546875" style="129" customWidth="1"/>
    <col min="14141" max="14141" width="2.7109375" style="129" customWidth="1"/>
    <col min="14142" max="14142" width="3.7109375" style="129" customWidth="1"/>
    <col min="14143" max="14143" width="2.7109375" style="129" customWidth="1"/>
    <col min="14144" max="14144" width="3" style="129" customWidth="1"/>
    <col min="14145" max="14147" width="2.85546875" style="129" customWidth="1"/>
    <col min="14148" max="14148" width="3.28515625" style="129" customWidth="1"/>
    <col min="14149" max="14149" width="3.140625" style="129" customWidth="1"/>
    <col min="14150" max="14152" width="3.28515625" style="129" customWidth="1"/>
    <col min="14153" max="14153" width="3" style="129" customWidth="1"/>
    <col min="14154" max="14154" width="3.140625" style="129" customWidth="1"/>
    <col min="14155" max="14155" width="3.5703125" style="129" customWidth="1"/>
    <col min="14156" max="14157" width="2.85546875" style="129" customWidth="1"/>
    <col min="14158" max="14158" width="3.42578125" style="129" customWidth="1"/>
    <col min="14159" max="14159" width="2.7109375" style="129" customWidth="1"/>
    <col min="14160" max="14160" width="2.28515625" style="129" customWidth="1"/>
    <col min="14161" max="14378" width="11.42578125" style="129"/>
    <col min="14379" max="14379" width="1.42578125" style="129" customWidth="1"/>
    <col min="14380" max="14380" width="4.28515625" style="129" customWidth="1"/>
    <col min="14381" max="14381" width="2.85546875" style="129" customWidth="1"/>
    <col min="14382" max="14382" width="3.42578125" style="129" customWidth="1"/>
    <col min="14383" max="14383" width="3.140625" style="129" customWidth="1"/>
    <col min="14384" max="14384" width="3.42578125" style="129" customWidth="1"/>
    <col min="14385" max="14385" width="3.5703125" style="129" customWidth="1"/>
    <col min="14386" max="14386" width="3.7109375" style="129" customWidth="1"/>
    <col min="14387" max="14387" width="3.140625" style="129" customWidth="1"/>
    <col min="14388" max="14388" width="3.28515625" style="129" customWidth="1"/>
    <col min="14389" max="14391" width="3.42578125" style="129" customWidth="1"/>
    <col min="14392" max="14392" width="3" style="129" customWidth="1"/>
    <col min="14393" max="14393" width="2.7109375" style="129" customWidth="1"/>
    <col min="14394" max="14394" width="2.85546875" style="129" customWidth="1"/>
    <col min="14395" max="14395" width="2.7109375" style="129" customWidth="1"/>
    <col min="14396" max="14396" width="3.85546875" style="129" customWidth="1"/>
    <col min="14397" max="14397" width="2.7109375" style="129" customWidth="1"/>
    <col min="14398" max="14398" width="3.7109375" style="129" customWidth="1"/>
    <col min="14399" max="14399" width="2.7109375" style="129" customWidth="1"/>
    <col min="14400" max="14400" width="3" style="129" customWidth="1"/>
    <col min="14401" max="14403" width="2.85546875" style="129" customWidth="1"/>
    <col min="14404" max="14404" width="3.28515625" style="129" customWidth="1"/>
    <col min="14405" max="14405" width="3.140625" style="129" customWidth="1"/>
    <col min="14406" max="14408" width="3.28515625" style="129" customWidth="1"/>
    <col min="14409" max="14409" width="3" style="129" customWidth="1"/>
    <col min="14410" max="14410" width="3.140625" style="129" customWidth="1"/>
    <col min="14411" max="14411" width="3.5703125" style="129" customWidth="1"/>
    <col min="14412" max="14413" width="2.85546875" style="129" customWidth="1"/>
    <col min="14414" max="14414" width="3.42578125" style="129" customWidth="1"/>
    <col min="14415" max="14415" width="2.7109375" style="129" customWidth="1"/>
    <col min="14416" max="14416" width="2.28515625" style="129" customWidth="1"/>
    <col min="14417" max="14634" width="11.42578125" style="129"/>
    <col min="14635" max="14635" width="1.42578125" style="129" customWidth="1"/>
    <col min="14636" max="14636" width="4.28515625" style="129" customWidth="1"/>
    <col min="14637" max="14637" width="2.85546875" style="129" customWidth="1"/>
    <col min="14638" max="14638" width="3.42578125" style="129" customWidth="1"/>
    <col min="14639" max="14639" width="3.140625" style="129" customWidth="1"/>
    <col min="14640" max="14640" width="3.42578125" style="129" customWidth="1"/>
    <col min="14641" max="14641" width="3.5703125" style="129" customWidth="1"/>
    <col min="14642" max="14642" width="3.7109375" style="129" customWidth="1"/>
    <col min="14643" max="14643" width="3.140625" style="129" customWidth="1"/>
    <col min="14644" max="14644" width="3.28515625" style="129" customWidth="1"/>
    <col min="14645" max="14647" width="3.42578125" style="129" customWidth="1"/>
    <col min="14648" max="14648" width="3" style="129" customWidth="1"/>
    <col min="14649" max="14649" width="2.7109375" style="129" customWidth="1"/>
    <col min="14650" max="14650" width="2.85546875" style="129" customWidth="1"/>
    <col min="14651" max="14651" width="2.7109375" style="129" customWidth="1"/>
    <col min="14652" max="14652" width="3.85546875" style="129" customWidth="1"/>
    <col min="14653" max="14653" width="2.7109375" style="129" customWidth="1"/>
    <col min="14654" max="14654" width="3.7109375" style="129" customWidth="1"/>
    <col min="14655" max="14655" width="2.7109375" style="129" customWidth="1"/>
    <col min="14656" max="14656" width="3" style="129" customWidth="1"/>
    <col min="14657" max="14659" width="2.85546875" style="129" customWidth="1"/>
    <col min="14660" max="14660" width="3.28515625" style="129" customWidth="1"/>
    <col min="14661" max="14661" width="3.140625" style="129" customWidth="1"/>
    <col min="14662" max="14664" width="3.28515625" style="129" customWidth="1"/>
    <col min="14665" max="14665" width="3" style="129" customWidth="1"/>
    <col min="14666" max="14666" width="3.140625" style="129" customWidth="1"/>
    <col min="14667" max="14667" width="3.5703125" style="129" customWidth="1"/>
    <col min="14668" max="14669" width="2.85546875" style="129" customWidth="1"/>
    <col min="14670" max="14670" width="3.42578125" style="129" customWidth="1"/>
    <col min="14671" max="14671" width="2.7109375" style="129" customWidth="1"/>
    <col min="14672" max="14672" width="2.28515625" style="129" customWidth="1"/>
    <col min="14673" max="14890" width="11.42578125" style="129"/>
    <col min="14891" max="14891" width="1.42578125" style="129" customWidth="1"/>
    <col min="14892" max="14892" width="4.28515625" style="129" customWidth="1"/>
    <col min="14893" max="14893" width="2.85546875" style="129" customWidth="1"/>
    <col min="14894" max="14894" width="3.42578125" style="129" customWidth="1"/>
    <col min="14895" max="14895" width="3.140625" style="129" customWidth="1"/>
    <col min="14896" max="14896" width="3.42578125" style="129" customWidth="1"/>
    <col min="14897" max="14897" width="3.5703125" style="129" customWidth="1"/>
    <col min="14898" max="14898" width="3.7109375" style="129" customWidth="1"/>
    <col min="14899" max="14899" width="3.140625" style="129" customWidth="1"/>
    <col min="14900" max="14900" width="3.28515625" style="129" customWidth="1"/>
    <col min="14901" max="14903" width="3.42578125" style="129" customWidth="1"/>
    <col min="14904" max="14904" width="3" style="129" customWidth="1"/>
    <col min="14905" max="14905" width="2.7109375" style="129" customWidth="1"/>
    <col min="14906" max="14906" width="2.85546875" style="129" customWidth="1"/>
    <col min="14907" max="14907" width="2.7109375" style="129" customWidth="1"/>
    <col min="14908" max="14908" width="3.85546875" style="129" customWidth="1"/>
    <col min="14909" max="14909" width="2.7109375" style="129" customWidth="1"/>
    <col min="14910" max="14910" width="3.7109375" style="129" customWidth="1"/>
    <col min="14911" max="14911" width="2.7109375" style="129" customWidth="1"/>
    <col min="14912" max="14912" width="3" style="129" customWidth="1"/>
    <col min="14913" max="14915" width="2.85546875" style="129" customWidth="1"/>
    <col min="14916" max="14916" width="3.28515625" style="129" customWidth="1"/>
    <col min="14917" max="14917" width="3.140625" style="129" customWidth="1"/>
    <col min="14918" max="14920" width="3.28515625" style="129" customWidth="1"/>
    <col min="14921" max="14921" width="3" style="129" customWidth="1"/>
    <col min="14922" max="14922" width="3.140625" style="129" customWidth="1"/>
    <col min="14923" max="14923" width="3.5703125" style="129" customWidth="1"/>
    <col min="14924" max="14925" width="2.85546875" style="129" customWidth="1"/>
    <col min="14926" max="14926" width="3.42578125" style="129" customWidth="1"/>
    <col min="14927" max="14927" width="2.7109375" style="129" customWidth="1"/>
    <col min="14928" max="14928" width="2.28515625" style="129" customWidth="1"/>
    <col min="14929" max="15146" width="11.42578125" style="129"/>
    <col min="15147" max="15147" width="1.42578125" style="129" customWidth="1"/>
    <col min="15148" max="15148" width="4.28515625" style="129" customWidth="1"/>
    <col min="15149" max="15149" width="2.85546875" style="129" customWidth="1"/>
    <col min="15150" max="15150" width="3.42578125" style="129" customWidth="1"/>
    <col min="15151" max="15151" width="3.140625" style="129" customWidth="1"/>
    <col min="15152" max="15152" width="3.42578125" style="129" customWidth="1"/>
    <col min="15153" max="15153" width="3.5703125" style="129" customWidth="1"/>
    <col min="15154" max="15154" width="3.7109375" style="129" customWidth="1"/>
    <col min="15155" max="15155" width="3.140625" style="129" customWidth="1"/>
    <col min="15156" max="15156" width="3.28515625" style="129" customWidth="1"/>
    <col min="15157" max="15159" width="3.42578125" style="129" customWidth="1"/>
    <col min="15160" max="15160" width="3" style="129" customWidth="1"/>
    <col min="15161" max="15161" width="2.7109375" style="129" customWidth="1"/>
    <col min="15162" max="15162" width="2.85546875" style="129" customWidth="1"/>
    <col min="15163" max="15163" width="2.7109375" style="129" customWidth="1"/>
    <col min="15164" max="15164" width="3.85546875" style="129" customWidth="1"/>
    <col min="15165" max="15165" width="2.7109375" style="129" customWidth="1"/>
    <col min="15166" max="15166" width="3.7109375" style="129" customWidth="1"/>
    <col min="15167" max="15167" width="2.7109375" style="129" customWidth="1"/>
    <col min="15168" max="15168" width="3" style="129" customWidth="1"/>
    <col min="15169" max="15171" width="2.85546875" style="129" customWidth="1"/>
    <col min="15172" max="15172" width="3.28515625" style="129" customWidth="1"/>
    <col min="15173" max="15173" width="3.140625" style="129" customWidth="1"/>
    <col min="15174" max="15176" width="3.28515625" style="129" customWidth="1"/>
    <col min="15177" max="15177" width="3" style="129" customWidth="1"/>
    <col min="15178" max="15178" width="3.140625" style="129" customWidth="1"/>
    <col min="15179" max="15179" width="3.5703125" style="129" customWidth="1"/>
    <col min="15180" max="15181" width="2.85546875" style="129" customWidth="1"/>
    <col min="15182" max="15182" width="3.42578125" style="129" customWidth="1"/>
    <col min="15183" max="15183" width="2.7109375" style="129" customWidth="1"/>
    <col min="15184" max="15184" width="2.28515625" style="129" customWidth="1"/>
    <col min="15185" max="15402" width="11.42578125" style="129"/>
    <col min="15403" max="15403" width="1.42578125" style="129" customWidth="1"/>
    <col min="15404" max="15404" width="4.28515625" style="129" customWidth="1"/>
    <col min="15405" max="15405" width="2.85546875" style="129" customWidth="1"/>
    <col min="15406" max="15406" width="3.42578125" style="129" customWidth="1"/>
    <col min="15407" max="15407" width="3.140625" style="129" customWidth="1"/>
    <col min="15408" max="15408" width="3.42578125" style="129" customWidth="1"/>
    <col min="15409" max="15409" width="3.5703125" style="129" customWidth="1"/>
    <col min="15410" max="15410" width="3.7109375" style="129" customWidth="1"/>
    <col min="15411" max="15411" width="3.140625" style="129" customWidth="1"/>
    <col min="15412" max="15412" width="3.28515625" style="129" customWidth="1"/>
    <col min="15413" max="15415" width="3.42578125" style="129" customWidth="1"/>
    <col min="15416" max="15416" width="3" style="129" customWidth="1"/>
    <col min="15417" max="15417" width="2.7109375" style="129" customWidth="1"/>
    <col min="15418" max="15418" width="2.85546875" style="129" customWidth="1"/>
    <col min="15419" max="15419" width="2.7109375" style="129" customWidth="1"/>
    <col min="15420" max="15420" width="3.85546875" style="129" customWidth="1"/>
    <col min="15421" max="15421" width="2.7109375" style="129" customWidth="1"/>
    <col min="15422" max="15422" width="3.7109375" style="129" customWidth="1"/>
    <col min="15423" max="15423" width="2.7109375" style="129" customWidth="1"/>
    <col min="15424" max="15424" width="3" style="129" customWidth="1"/>
    <col min="15425" max="15427" width="2.85546875" style="129" customWidth="1"/>
    <col min="15428" max="15428" width="3.28515625" style="129" customWidth="1"/>
    <col min="15429" max="15429" width="3.140625" style="129" customWidth="1"/>
    <col min="15430" max="15432" width="3.28515625" style="129" customWidth="1"/>
    <col min="15433" max="15433" width="3" style="129" customWidth="1"/>
    <col min="15434" max="15434" width="3.140625" style="129" customWidth="1"/>
    <col min="15435" max="15435" width="3.5703125" style="129" customWidth="1"/>
    <col min="15436" max="15437" width="2.85546875" style="129" customWidth="1"/>
    <col min="15438" max="15438" width="3.42578125" style="129" customWidth="1"/>
    <col min="15439" max="15439" width="2.7109375" style="129" customWidth="1"/>
    <col min="15440" max="15440" width="2.28515625" style="129" customWidth="1"/>
    <col min="15441" max="15658" width="11.42578125" style="129"/>
    <col min="15659" max="15659" width="1.42578125" style="129" customWidth="1"/>
    <col min="15660" max="15660" width="4.28515625" style="129" customWidth="1"/>
    <col min="15661" max="15661" width="2.85546875" style="129" customWidth="1"/>
    <col min="15662" max="15662" width="3.42578125" style="129" customWidth="1"/>
    <col min="15663" max="15663" width="3.140625" style="129" customWidth="1"/>
    <col min="15664" max="15664" width="3.42578125" style="129" customWidth="1"/>
    <col min="15665" max="15665" width="3.5703125" style="129" customWidth="1"/>
    <col min="15666" max="15666" width="3.7109375" style="129" customWidth="1"/>
    <col min="15667" max="15667" width="3.140625" style="129" customWidth="1"/>
    <col min="15668" max="15668" width="3.28515625" style="129" customWidth="1"/>
    <col min="15669" max="15671" width="3.42578125" style="129" customWidth="1"/>
    <col min="15672" max="15672" width="3" style="129" customWidth="1"/>
    <col min="15673" max="15673" width="2.7109375" style="129" customWidth="1"/>
    <col min="15674" max="15674" width="2.85546875" style="129" customWidth="1"/>
    <col min="15675" max="15675" width="2.7109375" style="129" customWidth="1"/>
    <col min="15676" max="15676" width="3.85546875" style="129" customWidth="1"/>
    <col min="15677" max="15677" width="2.7109375" style="129" customWidth="1"/>
    <col min="15678" max="15678" width="3.7109375" style="129" customWidth="1"/>
    <col min="15679" max="15679" width="2.7109375" style="129" customWidth="1"/>
    <col min="15680" max="15680" width="3" style="129" customWidth="1"/>
    <col min="15681" max="15683" width="2.85546875" style="129" customWidth="1"/>
    <col min="15684" max="15684" width="3.28515625" style="129" customWidth="1"/>
    <col min="15685" max="15685" width="3.140625" style="129" customWidth="1"/>
    <col min="15686" max="15688" width="3.28515625" style="129" customWidth="1"/>
    <col min="15689" max="15689" width="3" style="129" customWidth="1"/>
    <col min="15690" max="15690" width="3.140625" style="129" customWidth="1"/>
    <col min="15691" max="15691" width="3.5703125" style="129" customWidth="1"/>
    <col min="15692" max="15693" width="2.85546875" style="129" customWidth="1"/>
    <col min="15694" max="15694" width="3.42578125" style="129" customWidth="1"/>
    <col min="15695" max="15695" width="2.7109375" style="129" customWidth="1"/>
    <col min="15696" max="15696" width="2.28515625" style="129" customWidth="1"/>
    <col min="15697" max="15914" width="11.42578125" style="129"/>
    <col min="15915" max="15915" width="1.42578125" style="129" customWidth="1"/>
    <col min="15916" max="15916" width="4.28515625" style="129" customWidth="1"/>
    <col min="15917" max="15917" width="2.85546875" style="129" customWidth="1"/>
    <col min="15918" max="15918" width="3.42578125" style="129" customWidth="1"/>
    <col min="15919" max="15919" width="3.140625" style="129" customWidth="1"/>
    <col min="15920" max="15920" width="3.42578125" style="129" customWidth="1"/>
    <col min="15921" max="15921" width="3.5703125" style="129" customWidth="1"/>
    <col min="15922" max="15922" width="3.7109375" style="129" customWidth="1"/>
    <col min="15923" max="15923" width="3.140625" style="129" customWidth="1"/>
    <col min="15924" max="15924" width="3.28515625" style="129" customWidth="1"/>
    <col min="15925" max="15927" width="3.42578125" style="129" customWidth="1"/>
    <col min="15928" max="15928" width="3" style="129" customWidth="1"/>
    <col min="15929" max="15929" width="2.7109375" style="129" customWidth="1"/>
    <col min="15930" max="15930" width="2.85546875" style="129" customWidth="1"/>
    <col min="15931" max="15931" width="2.7109375" style="129" customWidth="1"/>
    <col min="15932" max="15932" width="3.85546875" style="129" customWidth="1"/>
    <col min="15933" max="15933" width="2.7109375" style="129" customWidth="1"/>
    <col min="15934" max="15934" width="3.7109375" style="129" customWidth="1"/>
    <col min="15935" max="15935" width="2.7109375" style="129" customWidth="1"/>
    <col min="15936" max="15936" width="3" style="129" customWidth="1"/>
    <col min="15937" max="15939" width="2.85546875" style="129" customWidth="1"/>
    <col min="15940" max="15940" width="3.28515625" style="129" customWidth="1"/>
    <col min="15941" max="15941" width="3.140625" style="129" customWidth="1"/>
    <col min="15942" max="15944" width="3.28515625" style="129" customWidth="1"/>
    <col min="15945" max="15945" width="3" style="129" customWidth="1"/>
    <col min="15946" max="15946" width="3.140625" style="129" customWidth="1"/>
    <col min="15947" max="15947" width="3.5703125" style="129" customWidth="1"/>
    <col min="15948" max="15949" width="2.85546875" style="129" customWidth="1"/>
    <col min="15950" max="15950" width="3.42578125" style="129" customWidth="1"/>
    <col min="15951" max="15951" width="2.7109375" style="129" customWidth="1"/>
    <col min="15952" max="15952" width="2.28515625" style="129" customWidth="1"/>
    <col min="15953" max="16170" width="11.42578125" style="129"/>
    <col min="16171" max="16171" width="1.42578125" style="129" customWidth="1"/>
    <col min="16172" max="16172" width="4.28515625" style="129" customWidth="1"/>
    <col min="16173" max="16173" width="2.85546875" style="129" customWidth="1"/>
    <col min="16174" max="16174" width="3.42578125" style="129" customWidth="1"/>
    <col min="16175" max="16175" width="3.140625" style="129" customWidth="1"/>
    <col min="16176" max="16176" width="3.42578125" style="129" customWidth="1"/>
    <col min="16177" max="16177" width="3.5703125" style="129" customWidth="1"/>
    <col min="16178" max="16178" width="3.7109375" style="129" customWidth="1"/>
    <col min="16179" max="16179" width="3.140625" style="129" customWidth="1"/>
    <col min="16180" max="16180" width="3.28515625" style="129" customWidth="1"/>
    <col min="16181" max="16183" width="3.42578125" style="129" customWidth="1"/>
    <col min="16184" max="16184" width="3" style="129" customWidth="1"/>
    <col min="16185" max="16185" width="2.7109375" style="129" customWidth="1"/>
    <col min="16186" max="16186" width="2.85546875" style="129" customWidth="1"/>
    <col min="16187" max="16187" width="2.7109375" style="129" customWidth="1"/>
    <col min="16188" max="16188" width="3.85546875" style="129" customWidth="1"/>
    <col min="16189" max="16189" width="2.7109375" style="129" customWidth="1"/>
    <col min="16190" max="16190" width="3.7109375" style="129" customWidth="1"/>
    <col min="16191" max="16191" width="2.7109375" style="129" customWidth="1"/>
    <col min="16192" max="16192" width="3" style="129" customWidth="1"/>
    <col min="16193" max="16195" width="2.85546875" style="129" customWidth="1"/>
    <col min="16196" max="16196" width="3.28515625" style="129" customWidth="1"/>
    <col min="16197" max="16197" width="3.140625" style="129" customWidth="1"/>
    <col min="16198" max="16200" width="3.28515625" style="129" customWidth="1"/>
    <col min="16201" max="16201" width="3" style="129" customWidth="1"/>
    <col min="16202" max="16202" width="3.140625" style="129" customWidth="1"/>
    <col min="16203" max="16203" width="3.5703125" style="129" customWidth="1"/>
    <col min="16204" max="16205" width="2.85546875" style="129" customWidth="1"/>
    <col min="16206" max="16206" width="3.42578125" style="129" customWidth="1"/>
    <col min="16207" max="16207" width="2.7109375" style="129" customWidth="1"/>
    <col min="16208" max="16208" width="2.28515625" style="129" customWidth="1"/>
    <col min="16209" max="16384" width="11.42578125" style="129"/>
  </cols>
  <sheetData>
    <row r="1" spans="1:95" ht="13.5" customHeight="1" x14ac:dyDescent="0.2">
      <c r="A1" s="374"/>
      <c r="AP1" s="375"/>
      <c r="AQ1" s="376"/>
      <c r="AR1" s="377"/>
      <c r="AS1" s="377"/>
      <c r="AT1" s="377"/>
      <c r="AU1" s="378"/>
      <c r="AV1" s="379"/>
      <c r="AW1" s="379"/>
      <c r="AX1" s="379"/>
      <c r="AY1" s="379"/>
      <c r="AZ1" s="379"/>
      <c r="BA1" s="379"/>
      <c r="BB1" s="379"/>
      <c r="BC1" s="379"/>
      <c r="BD1" s="379"/>
      <c r="BE1" s="379"/>
      <c r="BF1" s="379"/>
      <c r="BG1" s="379"/>
      <c r="BH1" s="379"/>
      <c r="BI1" s="379"/>
      <c r="BJ1" s="379"/>
      <c r="BK1" s="379"/>
      <c r="BL1" s="379"/>
      <c r="BM1" s="379"/>
      <c r="BN1" s="379"/>
      <c r="BO1" s="379"/>
      <c r="BP1" s="379"/>
      <c r="BQ1" s="379"/>
      <c r="BR1" s="379"/>
      <c r="BS1" s="379"/>
      <c r="BT1" s="379"/>
      <c r="BU1" s="379"/>
      <c r="BV1" s="379"/>
      <c r="BW1" s="379"/>
      <c r="BX1" s="379"/>
      <c r="BY1" s="379"/>
      <c r="BZ1" s="379"/>
      <c r="CA1" s="379"/>
      <c r="CB1" s="379"/>
      <c r="CC1" s="379"/>
      <c r="CD1" s="380"/>
      <c r="CL1" s="130"/>
      <c r="CM1" s="130"/>
      <c r="CN1" s="130"/>
      <c r="CO1" s="130"/>
      <c r="CP1" s="130"/>
      <c r="CQ1" s="130"/>
    </row>
    <row r="2" spans="1:95" ht="13.5" customHeight="1" x14ac:dyDescent="0.2">
      <c r="B2" s="1194" t="s">
        <v>203</v>
      </c>
      <c r="C2" s="1195"/>
      <c r="D2" s="1195"/>
      <c r="E2" s="1195"/>
      <c r="F2" s="1195"/>
      <c r="G2" s="1196"/>
      <c r="H2" s="382"/>
      <c r="I2" s="383"/>
      <c r="J2" s="1197" t="s">
        <v>587</v>
      </c>
      <c r="K2" s="1197"/>
      <c r="L2" s="1197"/>
      <c r="M2" s="1197"/>
      <c r="N2" s="1197"/>
      <c r="O2" s="1197"/>
      <c r="P2" s="1197"/>
      <c r="Q2" s="1197"/>
      <c r="R2" s="1197"/>
      <c r="S2" s="1197"/>
      <c r="T2" s="1197"/>
      <c r="U2" s="1197"/>
      <c r="V2" s="1197"/>
      <c r="W2" s="1197"/>
      <c r="X2" s="1197"/>
      <c r="Y2" s="1197"/>
      <c r="Z2" s="1197"/>
      <c r="AA2" s="383"/>
      <c r="AB2" s="384"/>
      <c r="AC2" s="1200"/>
      <c r="AD2" s="1201"/>
      <c r="AE2" s="1201"/>
      <c r="AF2" s="1201"/>
      <c r="AG2" s="1202"/>
      <c r="AH2" s="1206" t="s">
        <v>0</v>
      </c>
      <c r="AI2" s="1207"/>
      <c r="AJ2" s="1207"/>
      <c r="AK2" s="1207"/>
      <c r="AL2" s="1207"/>
      <c r="AM2" s="1207"/>
      <c r="AN2" s="1208"/>
      <c r="AQ2" s="1215"/>
      <c r="AR2" s="1215"/>
      <c r="AS2" s="1215"/>
      <c r="AT2" s="1215"/>
      <c r="AU2" s="1215"/>
      <c r="AV2" s="1215"/>
      <c r="AW2" s="1216"/>
      <c r="AX2" s="1216"/>
      <c r="AY2" s="1216"/>
      <c r="AZ2" s="1216"/>
      <c r="BA2" s="1216"/>
      <c r="BB2" s="1216"/>
      <c r="BC2" s="1216"/>
      <c r="BD2" s="1216"/>
      <c r="BE2" s="1216"/>
      <c r="BF2" s="1216"/>
      <c r="BG2" s="1216"/>
      <c r="BH2" s="1216"/>
      <c r="BI2" s="1216"/>
      <c r="BJ2" s="1216"/>
      <c r="BK2" s="1216"/>
      <c r="BL2" s="1216"/>
      <c r="BM2" s="1216"/>
      <c r="BN2" s="1216"/>
      <c r="BO2" s="1182"/>
      <c r="BP2" s="1182"/>
      <c r="BQ2" s="1182"/>
      <c r="BR2" s="1182"/>
      <c r="BS2" s="1182"/>
      <c r="BT2" s="1182"/>
      <c r="BU2" s="1182"/>
      <c r="BV2" s="1182"/>
      <c r="BW2" s="1183"/>
      <c r="BX2" s="1183"/>
      <c r="BY2" s="1183"/>
      <c r="BZ2" s="1183"/>
      <c r="CA2" s="1183"/>
      <c r="CB2" s="1183"/>
      <c r="CL2" s="130"/>
      <c r="CM2" s="130"/>
      <c r="CN2" s="130"/>
      <c r="CO2" s="130"/>
      <c r="CP2" s="130"/>
      <c r="CQ2" s="130"/>
    </row>
    <row r="3" spans="1:95" ht="19.5" customHeight="1" x14ac:dyDescent="0.2">
      <c r="B3" s="811"/>
      <c r="C3" s="812"/>
      <c r="D3" s="812"/>
      <c r="E3" s="812"/>
      <c r="F3" s="812"/>
      <c r="G3" s="813"/>
      <c r="H3" s="386"/>
      <c r="I3" s="387"/>
      <c r="J3" s="1198"/>
      <c r="K3" s="1198"/>
      <c r="L3" s="1198"/>
      <c r="M3" s="1198"/>
      <c r="N3" s="1198"/>
      <c r="O3" s="1198"/>
      <c r="P3" s="1198"/>
      <c r="Q3" s="1198"/>
      <c r="R3" s="1198"/>
      <c r="S3" s="1198"/>
      <c r="T3" s="1198"/>
      <c r="U3" s="1198"/>
      <c r="V3" s="1198"/>
      <c r="W3" s="1198"/>
      <c r="X3" s="1198"/>
      <c r="Y3" s="1198"/>
      <c r="Z3" s="1198"/>
      <c r="AA3" s="387"/>
      <c r="AB3" s="388"/>
      <c r="AC3" s="1203"/>
      <c r="AD3" s="1204"/>
      <c r="AE3" s="1204"/>
      <c r="AF3" s="1204"/>
      <c r="AG3" s="1205"/>
      <c r="AH3" s="1209"/>
      <c r="AI3" s="1210"/>
      <c r="AJ3" s="1210"/>
      <c r="AK3" s="1210"/>
      <c r="AL3" s="1210"/>
      <c r="AM3" s="1210"/>
      <c r="AN3" s="1211"/>
      <c r="AQ3" s="1215"/>
      <c r="AR3" s="1215"/>
      <c r="AS3" s="1215"/>
      <c r="AT3" s="1215"/>
      <c r="AU3" s="1215"/>
      <c r="AV3" s="1215"/>
      <c r="AW3" s="1216"/>
      <c r="AX3" s="1216"/>
      <c r="AY3" s="1216"/>
      <c r="AZ3" s="1216"/>
      <c r="BA3" s="1216"/>
      <c r="BB3" s="1216"/>
      <c r="BC3" s="1216"/>
      <c r="BD3" s="1216"/>
      <c r="BE3" s="1216"/>
      <c r="BF3" s="1216"/>
      <c r="BG3" s="1216"/>
      <c r="BH3" s="1216"/>
      <c r="BI3" s="1216"/>
      <c r="BJ3" s="1216"/>
      <c r="BK3" s="1216"/>
      <c r="BL3" s="1216"/>
      <c r="BM3" s="1216"/>
      <c r="BN3" s="1216"/>
      <c r="BO3" s="1182"/>
      <c r="BP3" s="1182"/>
      <c r="BQ3" s="1182"/>
      <c r="BR3" s="1182"/>
      <c r="BS3" s="1182"/>
      <c r="BT3" s="1182"/>
      <c r="BU3" s="1182"/>
      <c r="BV3" s="1182"/>
      <c r="BW3" s="1183"/>
      <c r="BX3" s="1183"/>
      <c r="BY3" s="1183"/>
      <c r="BZ3" s="1183"/>
      <c r="CA3" s="1183"/>
      <c r="CB3" s="1183"/>
    </row>
    <row r="4" spans="1:95" ht="13.5" customHeight="1" x14ac:dyDescent="0.2">
      <c r="B4" s="814"/>
      <c r="C4" s="815"/>
      <c r="D4" s="815"/>
      <c r="E4" s="815"/>
      <c r="F4" s="815"/>
      <c r="G4" s="816"/>
      <c r="H4" s="389"/>
      <c r="I4" s="390"/>
      <c r="J4" s="1199"/>
      <c r="K4" s="1199"/>
      <c r="L4" s="1199"/>
      <c r="M4" s="1199"/>
      <c r="N4" s="1199"/>
      <c r="O4" s="1199"/>
      <c r="P4" s="1199"/>
      <c r="Q4" s="1199"/>
      <c r="R4" s="1199"/>
      <c r="S4" s="1199"/>
      <c r="T4" s="1199"/>
      <c r="U4" s="1199"/>
      <c r="V4" s="1198"/>
      <c r="W4" s="1198"/>
      <c r="X4" s="1198"/>
      <c r="Y4" s="1198"/>
      <c r="Z4" s="1198"/>
      <c r="AA4" s="387"/>
      <c r="AB4" s="388"/>
      <c r="AC4" s="1203"/>
      <c r="AD4" s="1204"/>
      <c r="AE4" s="1204"/>
      <c r="AF4" s="1204"/>
      <c r="AG4" s="1205"/>
      <c r="AH4" s="1212"/>
      <c r="AI4" s="1213"/>
      <c r="AJ4" s="1213"/>
      <c r="AK4" s="1213"/>
      <c r="AL4" s="1213"/>
      <c r="AM4" s="1213"/>
      <c r="AN4" s="1214"/>
      <c r="AQ4" s="1215"/>
      <c r="AR4" s="1215"/>
      <c r="AS4" s="1215"/>
      <c r="AT4" s="1215"/>
      <c r="AU4" s="1215"/>
      <c r="AV4" s="1215"/>
      <c r="AW4" s="1216"/>
      <c r="AX4" s="1216"/>
      <c r="AY4" s="1216"/>
      <c r="AZ4" s="1216"/>
      <c r="BA4" s="1216"/>
      <c r="BB4" s="1216"/>
      <c r="BC4" s="1216"/>
      <c r="BD4" s="1216"/>
      <c r="BE4" s="1216"/>
      <c r="BF4" s="1216"/>
      <c r="BG4" s="1216"/>
      <c r="BH4" s="1216"/>
      <c r="BI4" s="1216"/>
      <c r="BJ4" s="1216"/>
      <c r="BK4" s="1216"/>
      <c r="BL4" s="1216"/>
      <c r="BM4" s="1216"/>
      <c r="BN4" s="1216"/>
      <c r="BO4" s="1182"/>
      <c r="BP4" s="1182"/>
      <c r="BQ4" s="1182"/>
      <c r="BR4" s="1182"/>
      <c r="BS4" s="1182"/>
      <c r="BT4" s="1182"/>
      <c r="BU4" s="1182"/>
      <c r="BV4" s="1182"/>
      <c r="BW4" s="1183"/>
      <c r="BX4" s="1183"/>
      <c r="BY4" s="1183"/>
      <c r="BZ4" s="1183"/>
      <c r="CA4" s="1183"/>
      <c r="CB4" s="1183"/>
    </row>
    <row r="5" spans="1:95" ht="13.5" customHeight="1" x14ac:dyDescent="0.2">
      <c r="B5" s="844" t="s">
        <v>1</v>
      </c>
      <c r="C5" s="845"/>
      <c r="D5" s="1184">
        <v>2022</v>
      </c>
      <c r="E5" s="1185"/>
      <c r="F5" s="1185"/>
      <c r="G5" s="1186"/>
      <c r="H5" s="391"/>
      <c r="I5" s="391"/>
      <c r="J5" s="391"/>
      <c r="K5" s="391"/>
      <c r="L5" s="391"/>
      <c r="M5" s="391"/>
      <c r="N5" s="391"/>
      <c r="O5" s="391"/>
      <c r="P5" s="391"/>
      <c r="Q5" s="391"/>
      <c r="R5" s="391"/>
      <c r="S5" s="391"/>
      <c r="T5" s="391"/>
      <c r="U5" s="392"/>
      <c r="V5" s="393"/>
      <c r="W5" s="391"/>
      <c r="X5" s="391"/>
      <c r="Y5" s="1187"/>
      <c r="Z5" s="1187"/>
      <c r="AA5" s="1187"/>
      <c r="AB5" s="1187"/>
      <c r="AC5" s="1187"/>
      <c r="AD5" s="1187"/>
      <c r="AE5" s="394"/>
      <c r="AF5" s="394"/>
      <c r="AG5" s="394"/>
      <c r="AH5" s="395"/>
      <c r="AI5" s="395"/>
      <c r="AJ5" s="395"/>
      <c r="AK5" s="395"/>
      <c r="AL5" s="395"/>
      <c r="AM5" s="395"/>
      <c r="AN5" s="396"/>
      <c r="AQ5" s="397"/>
      <c r="AR5" s="397"/>
      <c r="AS5" s="397"/>
      <c r="AT5" s="397"/>
      <c r="AU5" s="397"/>
      <c r="AV5" s="397"/>
      <c r="AW5" s="398"/>
      <c r="AX5" s="398"/>
      <c r="AY5" s="398"/>
      <c r="AZ5" s="398"/>
      <c r="BA5" s="398"/>
      <c r="BB5" s="398"/>
      <c r="BC5" s="398"/>
      <c r="BD5" s="398"/>
      <c r="BE5" s="398"/>
      <c r="BF5" s="398"/>
      <c r="BG5" s="398"/>
      <c r="BH5" s="398"/>
      <c r="BI5" s="398"/>
      <c r="BJ5" s="398"/>
      <c r="BK5" s="398"/>
      <c r="BL5" s="398"/>
      <c r="BM5" s="398"/>
      <c r="BN5" s="398"/>
      <c r="BO5" s="399"/>
      <c r="BP5" s="399"/>
      <c r="BQ5" s="399"/>
      <c r="BR5" s="399"/>
      <c r="BS5" s="399"/>
      <c r="BT5" s="399"/>
      <c r="BU5" s="399"/>
      <c r="BV5" s="399"/>
      <c r="BW5" s="400"/>
      <c r="BX5" s="400"/>
      <c r="BY5" s="400"/>
      <c r="BZ5" s="400"/>
      <c r="CA5" s="400"/>
      <c r="CB5" s="400"/>
    </row>
    <row r="6" spans="1:95" ht="33.950000000000003" customHeight="1" x14ac:dyDescent="0.2">
      <c r="B6" s="401"/>
      <c r="C6" s="402" t="s">
        <v>588</v>
      </c>
      <c r="D6" s="403"/>
      <c r="E6" s="403"/>
      <c r="F6" s="403"/>
      <c r="G6" s="403"/>
      <c r="H6" s="403"/>
      <c r="I6" s="403"/>
      <c r="J6" s="403"/>
      <c r="K6" s="403"/>
      <c r="L6" s="403"/>
      <c r="M6" s="403"/>
      <c r="N6" s="403"/>
      <c r="O6" s="403"/>
      <c r="P6" s="403"/>
      <c r="Q6" s="403"/>
      <c r="R6" s="403"/>
      <c r="S6" s="403"/>
      <c r="T6" s="403"/>
      <c r="U6" s="404"/>
      <c r="V6" s="401"/>
      <c r="W6" s="403"/>
      <c r="X6" s="403"/>
      <c r="Y6" s="1188" t="s">
        <v>589</v>
      </c>
      <c r="Z6" s="1188"/>
      <c r="AA6" s="1188"/>
      <c r="AB6" s="1188"/>
      <c r="AC6" s="1188"/>
      <c r="AD6" s="1188"/>
      <c r="AE6" s="403"/>
      <c r="AF6" s="403"/>
      <c r="AG6" s="403"/>
      <c r="AH6" s="403"/>
      <c r="AI6" s="403"/>
      <c r="AJ6" s="403"/>
      <c r="AK6" s="403"/>
      <c r="AL6" s="403"/>
      <c r="AM6" s="403"/>
      <c r="AN6" s="404"/>
      <c r="AQ6" s="1189"/>
      <c r="AR6" s="1189"/>
      <c r="AS6" s="1190"/>
      <c r="AT6" s="1190"/>
      <c r="AU6" s="1190"/>
      <c r="AV6" s="1190"/>
      <c r="AW6" s="405"/>
      <c r="AX6" s="406"/>
      <c r="AY6" s="406"/>
      <c r="AZ6" s="406"/>
      <c r="BA6" s="406"/>
      <c r="BB6" s="406"/>
      <c r="BC6" s="406"/>
      <c r="BD6" s="407"/>
      <c r="BE6" s="406"/>
      <c r="BF6" s="406"/>
      <c r="BG6" s="406"/>
      <c r="BH6" s="1191"/>
      <c r="BI6" s="1191"/>
      <c r="BJ6" s="1191"/>
      <c r="BK6" s="1191"/>
      <c r="BL6" s="1191"/>
      <c r="BM6" s="1191"/>
      <c r="BN6" s="1191"/>
      <c r="BO6" s="1191"/>
      <c r="BP6" s="1191"/>
      <c r="BQ6" s="1191"/>
      <c r="BR6" s="1191"/>
      <c r="BS6" s="1191"/>
      <c r="BT6" s="1191"/>
      <c r="BU6" s="1191"/>
      <c r="BV6" s="1191"/>
      <c r="BW6" s="1191"/>
      <c r="BX6" s="1191"/>
      <c r="BY6" s="1191"/>
      <c r="BZ6" s="1191"/>
      <c r="CA6" s="1191"/>
      <c r="CB6" s="1191"/>
      <c r="CD6" s="408"/>
      <c r="CE6" s="408"/>
    </row>
    <row r="7" spans="1:95" ht="21.6" customHeight="1" x14ac:dyDescent="0.2">
      <c r="B7" s="1192" t="s">
        <v>590</v>
      </c>
      <c r="C7" s="409" t="s">
        <v>2</v>
      </c>
      <c r="D7" s="409"/>
      <c r="E7" s="409"/>
      <c r="F7" s="409"/>
      <c r="G7" s="409"/>
      <c r="H7" s="409"/>
      <c r="I7" s="409"/>
      <c r="J7" s="409"/>
      <c r="K7" s="409"/>
      <c r="L7" s="409"/>
      <c r="M7" s="409"/>
      <c r="N7" s="409" t="s">
        <v>3</v>
      </c>
      <c r="O7" s="410"/>
      <c r="P7" s="1220" t="s">
        <v>7</v>
      </c>
      <c r="Q7" s="1220"/>
      <c r="R7" s="1220"/>
      <c r="S7" s="1220"/>
      <c r="T7" s="1220"/>
      <c r="U7" s="1221" t="s">
        <v>8</v>
      </c>
      <c r="V7" s="1220"/>
      <c r="W7" s="1220"/>
      <c r="X7" s="1220"/>
      <c r="Y7" s="1222"/>
      <c r="Z7" s="1221" t="s">
        <v>9</v>
      </c>
      <c r="AA7" s="1220"/>
      <c r="AB7" s="1220"/>
      <c r="AC7" s="1220"/>
      <c r="AD7" s="1222"/>
      <c r="AE7" s="1221" t="s">
        <v>18</v>
      </c>
      <c r="AF7" s="1220"/>
      <c r="AG7" s="1220"/>
      <c r="AH7" s="1220"/>
      <c r="AI7" s="1220"/>
      <c r="AJ7" s="1220"/>
      <c r="AK7" s="1223" t="s">
        <v>200</v>
      </c>
      <c r="AL7" s="1224"/>
      <c r="AM7" s="1224"/>
      <c r="AN7" s="1225"/>
      <c r="AQ7" s="1226"/>
      <c r="AR7" s="1226"/>
      <c r="AS7" s="1226"/>
      <c r="AT7" s="1226"/>
      <c r="AU7" s="1226"/>
      <c r="AV7" s="1226"/>
      <c r="AW7" s="1226"/>
      <c r="AX7" s="1226"/>
      <c r="AY7" s="1226"/>
      <c r="AZ7" s="1226"/>
      <c r="BA7" s="1226"/>
      <c r="BB7" s="1226"/>
      <c r="BC7" s="1226"/>
      <c r="BD7" s="1226"/>
      <c r="BE7" s="1226"/>
      <c r="BF7" s="1226"/>
      <c r="BG7" s="1226"/>
      <c r="BH7" s="1191"/>
      <c r="BI7" s="1191"/>
      <c r="BJ7" s="1191"/>
      <c r="BK7" s="1191"/>
      <c r="BL7" s="1191"/>
      <c r="BM7" s="1191"/>
      <c r="BN7" s="1191"/>
      <c r="BO7" s="1191"/>
      <c r="BP7" s="1191"/>
      <c r="BQ7" s="1191"/>
      <c r="BR7" s="1191"/>
      <c r="BS7" s="1191"/>
      <c r="BT7" s="1191"/>
      <c r="BU7" s="1191"/>
      <c r="BV7" s="1191"/>
      <c r="BW7" s="1191"/>
      <c r="BX7" s="1191"/>
      <c r="BY7" s="1191"/>
      <c r="BZ7" s="1191"/>
      <c r="CA7" s="1191"/>
      <c r="CB7" s="1191"/>
      <c r="CD7" s="408"/>
      <c r="CE7" s="408"/>
    </row>
    <row r="8" spans="1:95" ht="13.5" customHeight="1" x14ac:dyDescent="0.2">
      <c r="B8" s="1193"/>
      <c r="C8" s="1148"/>
      <c r="D8" s="1149"/>
      <c r="E8" s="1149"/>
      <c r="F8" s="1149"/>
      <c r="G8" s="1149"/>
      <c r="H8" s="1149"/>
      <c r="I8" s="1149"/>
      <c r="J8" s="1149"/>
      <c r="K8" s="1149"/>
      <c r="L8" s="1149"/>
      <c r="M8" s="1149"/>
      <c r="N8" s="1150"/>
      <c r="O8" s="411"/>
      <c r="P8" s="1151"/>
      <c r="Q8" s="1151"/>
      <c r="R8" s="1151"/>
      <c r="S8" s="1151"/>
      <c r="T8" s="1151"/>
      <c r="U8" s="1152"/>
      <c r="V8" s="1153"/>
      <c r="W8" s="1153"/>
      <c r="X8" s="1153"/>
      <c r="Y8" s="1154"/>
      <c r="Z8" s="1152"/>
      <c r="AA8" s="1153"/>
      <c r="AB8" s="1153"/>
      <c r="AC8" s="1153"/>
      <c r="AD8" s="1154"/>
      <c r="AE8" s="1152"/>
      <c r="AF8" s="1153"/>
      <c r="AG8" s="1153"/>
      <c r="AH8" s="1153"/>
      <c r="AI8" s="1153"/>
      <c r="AJ8" s="1153"/>
      <c r="AK8" s="1217">
        <v>32</v>
      </c>
      <c r="AL8" s="1218"/>
      <c r="AM8" s="1218"/>
      <c r="AN8" s="1219"/>
      <c r="AQ8" s="1226"/>
      <c r="AR8" s="1226"/>
      <c r="AS8" s="1226"/>
      <c r="AT8" s="1226"/>
      <c r="AU8" s="1226"/>
      <c r="AV8" s="1226"/>
      <c r="AW8" s="1226"/>
      <c r="AX8" s="1226"/>
      <c r="AY8" s="1226"/>
      <c r="AZ8" s="1226"/>
      <c r="BA8" s="1226"/>
      <c r="BB8" s="1226"/>
      <c r="BC8" s="1226"/>
      <c r="BD8" s="1226"/>
      <c r="BE8" s="1226"/>
      <c r="BF8" s="1226"/>
      <c r="BG8" s="1226"/>
      <c r="BH8" s="1191"/>
      <c r="BI8" s="1191"/>
      <c r="BJ8" s="1191"/>
      <c r="BK8" s="1191"/>
      <c r="BL8" s="1191"/>
      <c r="BM8" s="1191"/>
      <c r="BN8" s="1191"/>
      <c r="BO8" s="1191"/>
      <c r="BP8" s="1191"/>
      <c r="BQ8" s="1191"/>
      <c r="BR8" s="1191"/>
      <c r="BS8" s="1191"/>
      <c r="BT8" s="1191"/>
      <c r="BU8" s="1191"/>
      <c r="BV8" s="1191"/>
      <c r="BW8" s="1191"/>
      <c r="BX8" s="1191"/>
      <c r="BY8" s="1191"/>
      <c r="BZ8" s="1191"/>
      <c r="CA8" s="1191"/>
      <c r="CB8" s="1191"/>
      <c r="CD8" s="408"/>
      <c r="CE8" s="408"/>
    </row>
    <row r="9" spans="1:95" ht="21.6" customHeight="1" x14ac:dyDescent="0.2">
      <c r="B9" s="1173" t="s">
        <v>591</v>
      </c>
      <c r="C9" s="1174"/>
      <c r="D9" s="1174"/>
      <c r="E9" s="1178" t="s">
        <v>648</v>
      </c>
      <c r="F9" s="1178"/>
      <c r="G9" s="1178"/>
      <c r="H9" s="1178"/>
      <c r="I9" s="1174" t="s">
        <v>592</v>
      </c>
      <c r="J9" s="1174"/>
      <c r="K9" s="1174"/>
      <c r="L9" s="412" t="s">
        <v>593</v>
      </c>
      <c r="M9" s="413"/>
      <c r="N9" s="413"/>
      <c r="O9" s="1179" t="s">
        <v>21</v>
      </c>
      <c r="P9" s="1179"/>
      <c r="Q9" s="1179"/>
      <c r="R9" s="1180"/>
      <c r="S9" s="1180"/>
      <c r="T9" s="1180"/>
      <c r="U9" s="1180"/>
      <c r="V9" s="1180"/>
      <c r="W9" s="1181" t="s">
        <v>594</v>
      </c>
      <c r="X9" s="1181"/>
      <c r="Y9" s="1181"/>
      <c r="Z9" s="1181"/>
      <c r="AA9" s="1181"/>
      <c r="AB9" s="414">
        <v>2023</v>
      </c>
      <c r="AC9" s="1173" t="s">
        <v>595</v>
      </c>
      <c r="AD9" s="1174"/>
      <c r="AE9" s="1174"/>
      <c r="AF9" s="1174"/>
      <c r="AG9" s="1174"/>
      <c r="AH9" s="1174"/>
      <c r="AI9" s="1175"/>
      <c r="AJ9" s="1175"/>
      <c r="AK9" s="1176"/>
      <c r="AL9" s="1176"/>
      <c r="AM9" s="1176"/>
      <c r="AN9" s="1177"/>
      <c r="AQ9" s="1226"/>
      <c r="AR9" s="1226"/>
      <c r="AS9" s="1226"/>
      <c r="AT9" s="1226"/>
      <c r="AU9" s="1226"/>
      <c r="AV9" s="1226"/>
      <c r="AW9" s="1226"/>
      <c r="AX9" s="1226"/>
      <c r="AY9" s="1226"/>
      <c r="AZ9" s="1226"/>
      <c r="BA9" s="1226"/>
      <c r="BB9" s="1226"/>
      <c r="BC9" s="1226"/>
      <c r="BD9" s="1226"/>
      <c r="BE9" s="1226"/>
      <c r="BF9" s="1226"/>
      <c r="BG9" s="1226"/>
      <c r="BH9" s="1191"/>
      <c r="BI9" s="1191"/>
      <c r="BJ9" s="1191"/>
      <c r="BK9" s="1191"/>
      <c r="BL9" s="1191"/>
      <c r="BM9" s="1191"/>
      <c r="BN9" s="1191"/>
      <c r="BO9" s="1191"/>
      <c r="BP9" s="1191"/>
      <c r="BQ9" s="1191"/>
      <c r="BR9" s="1191"/>
      <c r="BS9" s="1191"/>
      <c r="BT9" s="1191"/>
      <c r="BU9" s="1191"/>
      <c r="BV9" s="1191"/>
      <c r="BW9" s="1191"/>
      <c r="BX9" s="1191"/>
      <c r="BY9" s="1191"/>
      <c r="BZ9" s="1191"/>
      <c r="CA9" s="1191"/>
      <c r="CB9" s="1191"/>
      <c r="CD9" s="408"/>
      <c r="CE9" s="408"/>
    </row>
    <row r="10" spans="1:95" ht="20.100000000000001" customHeight="1" x14ac:dyDescent="0.2">
      <c r="B10" s="415" t="s">
        <v>4</v>
      </c>
      <c r="C10" s="416"/>
      <c r="D10" s="417"/>
      <c r="E10" s="418" t="s">
        <v>596</v>
      </c>
      <c r="F10" s="419"/>
      <c r="G10" s="419"/>
      <c r="H10" s="419"/>
      <c r="I10" s="420"/>
      <c r="J10" s="421">
        <v>29</v>
      </c>
      <c r="K10" s="987">
        <f>+ROUND(('13 PB'!B33),-3)</f>
        <v>7292387000</v>
      </c>
      <c r="L10" s="988"/>
      <c r="M10" s="988"/>
      <c r="N10" s="988"/>
      <c r="O10" s="988"/>
      <c r="P10" s="988"/>
      <c r="Q10" s="988"/>
      <c r="R10" s="989"/>
      <c r="S10" s="418" t="s">
        <v>5</v>
      </c>
      <c r="T10" s="422"/>
      <c r="U10" s="421">
        <v>30</v>
      </c>
      <c r="V10" s="987">
        <f>ROUND('14 Deudas'!D17,-3)</f>
        <v>1189237000</v>
      </c>
      <c r="W10" s="988"/>
      <c r="X10" s="988"/>
      <c r="Y10" s="988"/>
      <c r="Z10" s="988"/>
      <c r="AA10" s="988"/>
      <c r="AB10" s="989"/>
      <c r="AC10" s="1155" t="s">
        <v>597</v>
      </c>
      <c r="AD10" s="1156"/>
      <c r="AE10" s="1156"/>
      <c r="AF10" s="1157"/>
      <c r="AG10" s="423">
        <v>31</v>
      </c>
      <c r="AH10" s="987">
        <f>IF(K10-V10&lt;0,0,K10-V10)</f>
        <v>6103150000</v>
      </c>
      <c r="AI10" s="988"/>
      <c r="AJ10" s="988"/>
      <c r="AK10" s="988"/>
      <c r="AL10" s="988"/>
      <c r="AM10" s="988"/>
      <c r="AN10" s="989"/>
      <c r="AQ10" s="1226"/>
      <c r="AR10" s="1226"/>
      <c r="AS10" s="1226"/>
      <c r="AT10" s="1226"/>
      <c r="AU10" s="1226"/>
      <c r="AV10" s="1226"/>
      <c r="AW10" s="1226"/>
      <c r="AX10" s="1226"/>
      <c r="AY10" s="1226"/>
      <c r="AZ10" s="1226"/>
      <c r="BA10" s="1226"/>
      <c r="BB10" s="1226"/>
      <c r="BC10" s="1226"/>
      <c r="BD10" s="1226"/>
      <c r="BE10" s="1226"/>
      <c r="BF10" s="1226"/>
      <c r="BG10" s="1226"/>
      <c r="BH10" s="1191"/>
      <c r="BI10" s="1191"/>
      <c r="BJ10" s="1191"/>
      <c r="BK10" s="1191"/>
      <c r="BL10" s="1191"/>
      <c r="BM10" s="1191"/>
      <c r="BN10" s="1191"/>
      <c r="BO10" s="1191"/>
      <c r="BP10" s="1191"/>
      <c r="BQ10" s="1191"/>
      <c r="BR10" s="1191"/>
      <c r="BS10" s="1191"/>
      <c r="BT10" s="1191"/>
      <c r="BU10" s="1191"/>
      <c r="BV10" s="1191"/>
      <c r="BW10" s="1191"/>
      <c r="BX10" s="1191"/>
      <c r="BY10" s="1191"/>
      <c r="BZ10" s="1191"/>
      <c r="CA10" s="1191"/>
      <c r="CB10" s="1191"/>
      <c r="CD10" s="408"/>
      <c r="CE10" s="408"/>
      <c r="CL10" s="93">
        <f>IF(K10&lt;0,1,0)</f>
        <v>0</v>
      </c>
      <c r="CM10" s="93">
        <f>IF(K10&lt;0,1,0)</f>
        <v>0</v>
      </c>
      <c r="CN10" s="93">
        <f>IF(AH10&lt;0,1,0)</f>
        <v>0</v>
      </c>
    </row>
    <row r="11" spans="1:95" ht="23.45" customHeight="1" x14ac:dyDescent="0.2">
      <c r="B11" s="958" t="s">
        <v>191</v>
      </c>
      <c r="C11" s="1158" t="s">
        <v>598</v>
      </c>
      <c r="D11" s="1159"/>
      <c r="E11" s="1159"/>
      <c r="F11" s="1159"/>
      <c r="G11" s="1159"/>
      <c r="H11" s="1160"/>
      <c r="I11" s="1158" t="s">
        <v>32</v>
      </c>
      <c r="J11" s="1159"/>
      <c r="K11" s="1159"/>
      <c r="L11" s="1159"/>
      <c r="M11" s="1159"/>
      <c r="N11" s="1159"/>
      <c r="O11" s="1159"/>
      <c r="P11" s="1160"/>
      <c r="Q11" s="1161" t="s">
        <v>599</v>
      </c>
      <c r="R11" s="1162"/>
      <c r="S11" s="1162"/>
      <c r="T11" s="1162"/>
      <c r="U11" s="1162"/>
      <c r="V11" s="1162"/>
      <c r="W11" s="1162"/>
      <c r="X11" s="1163"/>
      <c r="Y11" s="1158" t="s">
        <v>36</v>
      </c>
      <c r="Z11" s="1159"/>
      <c r="AA11" s="1159"/>
      <c r="AB11" s="1159"/>
      <c r="AC11" s="1159"/>
      <c r="AD11" s="1159"/>
      <c r="AE11" s="1159"/>
      <c r="AF11" s="1160"/>
      <c r="AG11" s="1158" t="s">
        <v>39</v>
      </c>
      <c r="AH11" s="1159"/>
      <c r="AI11" s="1159"/>
      <c r="AJ11" s="1159"/>
      <c r="AK11" s="1159"/>
      <c r="AL11" s="1159"/>
      <c r="AM11" s="1159"/>
      <c r="AN11" s="1160"/>
      <c r="AQ11" s="1226"/>
      <c r="AR11" s="1226"/>
      <c r="AS11" s="1226"/>
      <c r="AT11" s="1226"/>
      <c r="AU11" s="1226"/>
      <c r="AV11" s="1226"/>
      <c r="AW11" s="1226"/>
      <c r="AX11" s="1226"/>
      <c r="AY11" s="1226"/>
      <c r="AZ11" s="1226"/>
      <c r="BA11" s="1226"/>
      <c r="BB11" s="1226"/>
      <c r="BC11" s="1226"/>
      <c r="BD11" s="1226"/>
      <c r="BE11" s="1226"/>
      <c r="BF11" s="1226"/>
      <c r="BG11" s="1226"/>
      <c r="BH11" s="1191"/>
      <c r="BI11" s="1191"/>
      <c r="BJ11" s="1191"/>
      <c r="BK11" s="1191"/>
      <c r="BL11" s="1191"/>
      <c r="BM11" s="1191"/>
      <c r="BN11" s="1191"/>
      <c r="BO11" s="1191"/>
      <c r="BP11" s="1191"/>
      <c r="BQ11" s="1191"/>
      <c r="BR11" s="1191"/>
      <c r="BS11" s="1191"/>
      <c r="BT11" s="1191"/>
      <c r="BU11" s="1191"/>
      <c r="BV11" s="1191"/>
      <c r="BW11" s="1191"/>
      <c r="BX11" s="1191"/>
      <c r="BY11" s="1191"/>
      <c r="BZ11" s="1191"/>
      <c r="CA11" s="1191"/>
      <c r="CB11" s="1191"/>
      <c r="CD11" s="408"/>
      <c r="CE11" s="408"/>
    </row>
    <row r="12" spans="1:95" ht="17.45" customHeight="1" x14ac:dyDescent="0.2">
      <c r="B12" s="959"/>
      <c r="C12" s="1120" t="s">
        <v>514</v>
      </c>
      <c r="D12" s="1121"/>
      <c r="E12" s="1121"/>
      <c r="F12" s="1121"/>
      <c r="G12" s="1121"/>
      <c r="H12" s="1122"/>
      <c r="I12" s="424">
        <v>32</v>
      </c>
      <c r="J12" s="1123">
        <f>ROUND('15 CG RT'!C9,-3)</f>
        <v>73100000</v>
      </c>
      <c r="K12" s="1123"/>
      <c r="L12" s="1123"/>
      <c r="M12" s="1123"/>
      <c r="N12" s="1123"/>
      <c r="O12" s="1123"/>
      <c r="P12" s="1123"/>
      <c r="Q12" s="425">
        <v>43</v>
      </c>
      <c r="R12" s="1124">
        <v>0</v>
      </c>
      <c r="S12" s="1124"/>
      <c r="T12" s="1124"/>
      <c r="U12" s="1124"/>
      <c r="V12" s="1124"/>
      <c r="W12" s="1124"/>
      <c r="X12" s="1124"/>
      <c r="Y12" s="425">
        <v>58</v>
      </c>
      <c r="Z12" s="1123">
        <f>ROUND('16 CG RC'!B10,-3)</f>
        <v>147279000</v>
      </c>
      <c r="AA12" s="1123"/>
      <c r="AB12" s="1123"/>
      <c r="AC12" s="1123"/>
      <c r="AD12" s="1123"/>
      <c r="AE12" s="1123"/>
      <c r="AF12" s="1123"/>
      <c r="AG12" s="426">
        <v>74</v>
      </c>
      <c r="AH12" s="1125">
        <f>ROUND('17 CG RNL'!B8,-3)</f>
        <v>597206000</v>
      </c>
      <c r="AI12" s="1123"/>
      <c r="AJ12" s="1123"/>
      <c r="AK12" s="1123"/>
      <c r="AL12" s="1123"/>
      <c r="AM12" s="1123"/>
      <c r="AN12" s="1126"/>
      <c r="AQ12" s="1143"/>
      <c r="AR12" s="1138"/>
      <c r="AS12" s="1138"/>
      <c r="AT12" s="1138"/>
      <c r="AU12" s="1138"/>
      <c r="AV12" s="1138"/>
      <c r="AW12" s="1138"/>
      <c r="AX12" s="1138"/>
      <c r="AY12" s="1138"/>
      <c r="AZ12" s="1138"/>
      <c r="BA12" s="1138"/>
      <c r="BB12" s="1138"/>
      <c r="BC12" s="1138"/>
      <c r="BD12" s="427"/>
      <c r="BE12" s="428"/>
      <c r="BF12" s="1138"/>
      <c r="BG12" s="1138"/>
      <c r="BH12" s="1138"/>
      <c r="BI12" s="1138"/>
      <c r="BJ12" s="1138"/>
      <c r="BK12" s="1138"/>
      <c r="BL12" s="1138"/>
      <c r="BM12" s="1138"/>
      <c r="BN12" s="1138"/>
      <c r="BO12" s="1138"/>
      <c r="BP12" s="1138"/>
      <c r="BQ12" s="1138"/>
      <c r="BR12" s="1138"/>
      <c r="BS12" s="1138"/>
      <c r="BT12" s="1138"/>
      <c r="BU12" s="1138"/>
      <c r="BV12" s="1138"/>
      <c r="BW12" s="1138"/>
      <c r="BX12" s="1138"/>
      <c r="BY12" s="1138"/>
      <c r="BZ12" s="1138"/>
      <c r="CA12" s="1139"/>
      <c r="CB12" s="1139"/>
      <c r="CD12" s="408"/>
      <c r="CE12" s="408"/>
      <c r="CL12" s="93">
        <f>IF(J12&lt;0,1,0)</f>
        <v>0</v>
      </c>
      <c r="CM12" s="93">
        <f>IF(R12&lt;0,1,0)</f>
        <v>0</v>
      </c>
      <c r="CN12" s="93">
        <f>IF(Z12&lt;0,1,0)</f>
        <v>0</v>
      </c>
      <c r="CO12" s="93">
        <f>IF(AH12&lt;0,1,0)</f>
        <v>0</v>
      </c>
    </row>
    <row r="13" spans="1:95" ht="17.45" customHeight="1" x14ac:dyDescent="0.2">
      <c r="B13" s="959"/>
      <c r="C13" s="695" t="s">
        <v>600</v>
      </c>
      <c r="D13" s="653"/>
      <c r="E13" s="653"/>
      <c r="F13" s="653"/>
      <c r="G13" s="653"/>
      <c r="H13" s="780"/>
      <c r="I13" s="429"/>
      <c r="J13" s="430"/>
      <c r="K13" s="430"/>
      <c r="L13" s="430"/>
      <c r="M13" s="430"/>
      <c r="N13" s="430"/>
      <c r="O13" s="430"/>
      <c r="P13" s="430"/>
      <c r="Q13" s="429"/>
      <c r="R13" s="430"/>
      <c r="S13" s="430"/>
      <c r="T13" s="430"/>
      <c r="U13" s="430"/>
      <c r="V13" s="430"/>
      <c r="W13" s="430"/>
      <c r="X13" s="430"/>
      <c r="Y13" s="429"/>
      <c r="Z13" s="430"/>
      <c r="AA13" s="430"/>
      <c r="AB13" s="430"/>
      <c r="AC13" s="430"/>
      <c r="AD13" s="430"/>
      <c r="AE13" s="430"/>
      <c r="AF13" s="430"/>
      <c r="AG13" s="431">
        <v>75</v>
      </c>
      <c r="AH13" s="1059">
        <v>0</v>
      </c>
      <c r="AI13" s="1060"/>
      <c r="AJ13" s="1060"/>
      <c r="AK13" s="1060"/>
      <c r="AL13" s="1060"/>
      <c r="AM13" s="1060"/>
      <c r="AN13" s="1061"/>
      <c r="AQ13" s="1143"/>
      <c r="AR13" s="1140"/>
      <c r="AS13" s="1140"/>
      <c r="AT13" s="1140"/>
      <c r="AU13" s="1140"/>
      <c r="AV13" s="1140"/>
      <c r="AW13" s="1140"/>
      <c r="AX13" s="1140"/>
      <c r="AY13" s="1140"/>
      <c r="AZ13" s="1140"/>
      <c r="BA13" s="1140"/>
      <c r="BB13" s="1140"/>
      <c r="BC13" s="1140"/>
      <c r="BD13" s="1140"/>
      <c r="BE13" s="432"/>
      <c r="BF13" s="1141"/>
      <c r="BG13" s="1141"/>
      <c r="BH13" s="1141"/>
      <c r="BI13" s="1141"/>
      <c r="BJ13" s="1141"/>
      <c r="BK13" s="1142"/>
      <c r="BL13" s="1142"/>
      <c r="BM13" s="1142"/>
      <c r="BN13" s="1142"/>
      <c r="BO13" s="1142"/>
      <c r="BP13" s="1142"/>
      <c r="BQ13" s="1142"/>
      <c r="BR13" s="1142"/>
      <c r="BS13" s="1142"/>
      <c r="BT13" s="1142"/>
      <c r="BU13" s="1142"/>
      <c r="BV13" s="1142"/>
      <c r="BW13" s="1142"/>
      <c r="BX13" s="1142"/>
      <c r="BY13" s="1142"/>
      <c r="BZ13" s="1142"/>
      <c r="CA13" s="1142"/>
      <c r="CB13" s="1142"/>
      <c r="CD13" s="408"/>
      <c r="CE13" s="408"/>
      <c r="CL13" s="93">
        <f t="shared" ref="CL13:CL28" si="0">IF(J13&lt;0,1,0)</f>
        <v>0</v>
      </c>
      <c r="CM13" s="93">
        <f t="shared" ref="CM13:CM28" si="1">IF(R13&lt;0,1,0)</f>
        <v>0</v>
      </c>
      <c r="CN13" s="93">
        <f t="shared" ref="CN13:CN28" si="2">IF(Z13&lt;0,1,0)</f>
        <v>0</v>
      </c>
      <c r="CO13" s="93">
        <f t="shared" ref="CO13:CO28" si="3">IF(AH13&lt;0,1,0)</f>
        <v>0</v>
      </c>
    </row>
    <row r="14" spans="1:95" ht="17.45" customHeight="1" x14ac:dyDescent="0.2">
      <c r="B14" s="959"/>
      <c r="C14" s="948" t="s">
        <v>30</v>
      </c>
      <c r="D14" s="949"/>
      <c r="E14" s="949"/>
      <c r="F14" s="949"/>
      <c r="G14" s="949"/>
      <c r="H14" s="950"/>
      <c r="I14" s="433">
        <v>33</v>
      </c>
      <c r="J14" s="1115">
        <f>ROUND('15 CG RT'!C14,-3)</f>
        <v>4800000</v>
      </c>
      <c r="K14" s="1115"/>
      <c r="L14" s="1115"/>
      <c r="M14" s="1115"/>
      <c r="N14" s="1115"/>
      <c r="O14" s="1115"/>
      <c r="P14" s="1115"/>
      <c r="Q14" s="434">
        <v>44</v>
      </c>
      <c r="R14" s="1116">
        <v>0</v>
      </c>
      <c r="S14" s="1116"/>
      <c r="T14" s="1116"/>
      <c r="U14" s="1116"/>
      <c r="V14" s="1116"/>
      <c r="W14" s="1116"/>
      <c r="X14" s="1116"/>
      <c r="Y14" s="426">
        <v>59</v>
      </c>
      <c r="Z14" s="1115">
        <f>ROUND('16 CG RC'!B17,-3)</f>
        <v>7573000</v>
      </c>
      <c r="AA14" s="1115"/>
      <c r="AB14" s="1115"/>
      <c r="AC14" s="1115"/>
      <c r="AD14" s="1115"/>
      <c r="AE14" s="1115"/>
      <c r="AF14" s="1115"/>
      <c r="AG14" s="435">
        <v>76</v>
      </c>
      <c r="AH14" s="1146">
        <v>0</v>
      </c>
      <c r="AI14" s="1115"/>
      <c r="AJ14" s="1115"/>
      <c r="AK14" s="1115"/>
      <c r="AL14" s="1115"/>
      <c r="AM14" s="1115"/>
      <c r="AN14" s="1147"/>
      <c r="AQ14" s="1143"/>
      <c r="AR14" s="1127"/>
      <c r="AS14" s="1127"/>
      <c r="AT14" s="1127"/>
      <c r="AU14" s="436"/>
      <c r="AV14" s="1128"/>
      <c r="AW14" s="1128"/>
      <c r="AX14" s="1128"/>
      <c r="AY14" s="1128"/>
      <c r="AZ14" s="437"/>
      <c r="BA14" s="438"/>
      <c r="BB14" s="439"/>
      <c r="BC14" s="1129"/>
      <c r="BD14" s="1129"/>
      <c r="BE14" s="1129"/>
      <c r="BF14" s="1144"/>
      <c r="BG14" s="1145"/>
      <c r="BH14" s="1145"/>
      <c r="BI14" s="1145"/>
      <c r="BJ14" s="1145"/>
      <c r="BK14" s="1130"/>
      <c r="BL14" s="1130"/>
      <c r="BM14" s="1130"/>
      <c r="BN14" s="1130"/>
      <c r="BO14" s="1130"/>
      <c r="BP14" s="1130"/>
      <c r="BQ14" s="440"/>
      <c r="BR14" s="1131"/>
      <c r="BS14" s="1131"/>
      <c r="BT14" s="1131"/>
      <c r="BU14" s="1131"/>
      <c r="BV14" s="1131"/>
      <c r="BW14" s="1131"/>
      <c r="BX14" s="1131"/>
      <c r="BY14" s="1131"/>
      <c r="BZ14" s="1131"/>
      <c r="CA14" s="1131"/>
      <c r="CB14" s="441"/>
      <c r="CD14" s="408"/>
      <c r="CE14" s="408"/>
      <c r="CL14" s="93">
        <f t="shared" si="0"/>
        <v>0</v>
      </c>
      <c r="CM14" s="93">
        <f t="shared" si="1"/>
        <v>0</v>
      </c>
      <c r="CN14" s="93">
        <f t="shared" si="2"/>
        <v>0</v>
      </c>
      <c r="CO14" s="93">
        <f t="shared" si="3"/>
        <v>0</v>
      </c>
    </row>
    <row r="15" spans="1:95" ht="17.45" customHeight="1" x14ac:dyDescent="0.2">
      <c r="B15" s="959"/>
      <c r="C15" s="695" t="s">
        <v>180</v>
      </c>
      <c r="D15" s="653"/>
      <c r="E15" s="653"/>
      <c r="F15" s="653"/>
      <c r="G15" s="653"/>
      <c r="H15" s="780"/>
      <c r="I15" s="429"/>
      <c r="J15" s="430"/>
      <c r="K15" s="430"/>
      <c r="L15" s="430"/>
      <c r="M15" s="430"/>
      <c r="N15" s="430"/>
      <c r="O15" s="430"/>
      <c r="P15" s="430"/>
      <c r="Q15" s="431">
        <v>45</v>
      </c>
      <c r="R15" s="1093">
        <v>0</v>
      </c>
      <c r="S15" s="1093"/>
      <c r="T15" s="1093"/>
      <c r="U15" s="1093"/>
      <c r="V15" s="1093"/>
      <c r="W15" s="1093"/>
      <c r="X15" s="1093"/>
      <c r="Y15" s="431">
        <v>60</v>
      </c>
      <c r="Z15" s="1060">
        <f>ROUND('16 CG RC'!B26,-3)</f>
        <v>103182000</v>
      </c>
      <c r="AA15" s="1060"/>
      <c r="AB15" s="1060"/>
      <c r="AC15" s="1060"/>
      <c r="AD15" s="1060"/>
      <c r="AE15" s="1060"/>
      <c r="AF15" s="1060"/>
      <c r="AG15" s="435">
        <v>77</v>
      </c>
      <c r="AH15" s="1059">
        <f>ROUND('17 CG RNL'!B17,-3)</f>
        <v>309029000</v>
      </c>
      <c r="AI15" s="1060"/>
      <c r="AJ15" s="1060"/>
      <c r="AK15" s="1060"/>
      <c r="AL15" s="1060"/>
      <c r="AM15" s="1060"/>
      <c r="AN15" s="1061"/>
      <c r="AQ15" s="1132"/>
      <c r="AR15" s="897"/>
      <c r="AS15" s="897"/>
      <c r="AT15" s="897"/>
      <c r="AU15" s="897"/>
      <c r="AV15" s="897"/>
      <c r="AW15" s="897"/>
      <c r="AX15" s="897"/>
      <c r="AY15" s="897"/>
      <c r="AZ15" s="897"/>
      <c r="BA15" s="897"/>
      <c r="BB15" s="897"/>
      <c r="BC15" s="442"/>
      <c r="BD15" s="1062"/>
      <c r="BE15" s="1062"/>
      <c r="BF15" s="1062"/>
      <c r="BG15" s="1062"/>
      <c r="BH15" s="1062"/>
      <c r="BI15" s="897"/>
      <c r="BJ15" s="897"/>
      <c r="BK15" s="897"/>
      <c r="BL15" s="897"/>
      <c r="BM15" s="897"/>
      <c r="BN15" s="897"/>
      <c r="BO15" s="897"/>
      <c r="BP15" s="897"/>
      <c r="BQ15" s="897"/>
      <c r="BR15" s="897"/>
      <c r="BS15" s="897"/>
      <c r="BT15" s="897"/>
      <c r="BU15" s="897"/>
      <c r="BV15" s="443"/>
      <c r="BW15" s="905"/>
      <c r="BX15" s="905"/>
      <c r="BY15" s="905"/>
      <c r="BZ15" s="905"/>
      <c r="CA15" s="905"/>
      <c r="CB15" s="905"/>
      <c r="CD15" s="408"/>
      <c r="CE15" s="408"/>
      <c r="CL15" s="93">
        <f t="shared" si="0"/>
        <v>0</v>
      </c>
      <c r="CM15" s="93">
        <f t="shared" si="1"/>
        <v>0</v>
      </c>
      <c r="CN15" s="93">
        <f t="shared" si="2"/>
        <v>0</v>
      </c>
      <c r="CO15" s="93">
        <f t="shared" si="3"/>
        <v>0</v>
      </c>
    </row>
    <row r="16" spans="1:95" ht="17.45" customHeight="1" x14ac:dyDescent="0.25">
      <c r="B16" s="959"/>
      <c r="C16" s="1086" t="s">
        <v>601</v>
      </c>
      <c r="D16" s="1087"/>
      <c r="E16" s="1087"/>
      <c r="F16" s="1087"/>
      <c r="G16" s="1087"/>
      <c r="H16" s="1136"/>
      <c r="I16" s="444">
        <v>34</v>
      </c>
      <c r="J16" s="1137">
        <f>IF(J12-J14&lt;0,0,J12-J14)</f>
        <v>68300000</v>
      </c>
      <c r="K16" s="1137"/>
      <c r="L16" s="1137"/>
      <c r="M16" s="1137"/>
      <c r="N16" s="1137"/>
      <c r="O16" s="1137"/>
      <c r="P16" s="1137"/>
      <c r="Q16" s="445">
        <v>46</v>
      </c>
      <c r="R16" s="1164">
        <f>IF(R12-R14-R15&lt;0,0,R12-R14-R15)</f>
        <v>0</v>
      </c>
      <c r="S16" s="1164"/>
      <c r="T16" s="1164"/>
      <c r="U16" s="1164"/>
      <c r="V16" s="1164"/>
      <c r="W16" s="1164"/>
      <c r="X16" s="1164"/>
      <c r="Y16" s="446">
        <v>61</v>
      </c>
      <c r="Z16" s="1137">
        <f>IF(Z12-Z14-Z15&lt;0,0,Z12-Z14-Z15)</f>
        <v>36524000</v>
      </c>
      <c r="AA16" s="1137"/>
      <c r="AB16" s="1137"/>
      <c r="AC16" s="1137"/>
      <c r="AD16" s="1137"/>
      <c r="AE16" s="1137"/>
      <c r="AF16" s="1137"/>
      <c r="AG16" s="446">
        <v>78</v>
      </c>
      <c r="AH16" s="1165">
        <f>IF(AH12-AH13-AH14-AH15&lt;0,0,AH12-AH13-AH14-AH15)</f>
        <v>288177000</v>
      </c>
      <c r="AI16" s="1137"/>
      <c r="AJ16" s="1137"/>
      <c r="AK16" s="1137"/>
      <c r="AL16" s="1137"/>
      <c r="AM16" s="1137"/>
      <c r="AN16" s="1166"/>
      <c r="AO16" s="447"/>
      <c r="AQ16" s="1132"/>
      <c r="AR16" s="897"/>
      <c r="AS16" s="897"/>
      <c r="AT16" s="897"/>
      <c r="AU16" s="897"/>
      <c r="AV16" s="897"/>
      <c r="AW16" s="897"/>
      <c r="AX16" s="897"/>
      <c r="AY16" s="897"/>
      <c r="AZ16" s="897"/>
      <c r="BA16" s="897"/>
      <c r="BB16" s="897"/>
      <c r="BC16" s="442"/>
      <c r="BD16" s="1062"/>
      <c r="BE16" s="1062"/>
      <c r="BF16" s="1062"/>
      <c r="BG16" s="1062"/>
      <c r="BH16" s="1062"/>
      <c r="BI16" s="1117"/>
      <c r="BJ16" s="897"/>
      <c r="BK16" s="897"/>
      <c r="BL16" s="897"/>
      <c r="BM16" s="897"/>
      <c r="BN16" s="897"/>
      <c r="BO16" s="897"/>
      <c r="BP16" s="897"/>
      <c r="BQ16" s="897"/>
      <c r="BR16" s="897"/>
      <c r="BS16" s="897"/>
      <c r="BT16" s="897"/>
      <c r="BU16" s="897"/>
      <c r="BV16" s="443"/>
      <c r="BW16" s="1080"/>
      <c r="BX16" s="1080"/>
      <c r="BY16" s="1080"/>
      <c r="BZ16" s="1080"/>
      <c r="CA16" s="1080"/>
      <c r="CB16" s="1080"/>
      <c r="CD16" s="408"/>
      <c r="CE16" s="448"/>
      <c r="CL16" s="93">
        <f t="shared" si="0"/>
        <v>0</v>
      </c>
      <c r="CM16" s="93">
        <f t="shared" si="1"/>
        <v>0</v>
      </c>
      <c r="CN16" s="93">
        <f t="shared" si="2"/>
        <v>0</v>
      </c>
      <c r="CO16" s="93">
        <f t="shared" si="3"/>
        <v>0</v>
      </c>
    </row>
    <row r="17" spans="2:93" ht="17.45" customHeight="1" x14ac:dyDescent="0.2">
      <c r="B17" s="959"/>
      <c r="C17" s="939" t="s">
        <v>604</v>
      </c>
      <c r="D17" s="940"/>
      <c r="E17" s="940"/>
      <c r="F17" s="940"/>
      <c r="G17" s="940"/>
      <c r="H17" s="941"/>
      <c r="I17" s="449"/>
      <c r="J17" s="450"/>
      <c r="K17" s="450"/>
      <c r="L17" s="450"/>
      <c r="M17" s="450"/>
      <c r="N17" s="450"/>
      <c r="O17" s="450"/>
      <c r="P17" s="450"/>
      <c r="Q17" s="451"/>
      <c r="R17" s="450"/>
      <c r="S17" s="450"/>
      <c r="T17" s="450"/>
      <c r="U17" s="450"/>
      <c r="V17" s="450"/>
      <c r="W17" s="450"/>
      <c r="X17" s="450"/>
      <c r="Y17" s="452">
        <v>62</v>
      </c>
      <c r="Z17" s="1133">
        <v>0</v>
      </c>
      <c r="AA17" s="1133"/>
      <c r="AB17" s="1133"/>
      <c r="AC17" s="1133"/>
      <c r="AD17" s="1133"/>
      <c r="AE17" s="1133"/>
      <c r="AF17" s="1133"/>
      <c r="AG17" s="453">
        <v>79</v>
      </c>
      <c r="AH17" s="1134">
        <v>0</v>
      </c>
      <c r="AI17" s="1133"/>
      <c r="AJ17" s="1133"/>
      <c r="AK17" s="1133"/>
      <c r="AL17" s="1133"/>
      <c r="AM17" s="1133"/>
      <c r="AN17" s="1135"/>
      <c r="AQ17" s="1132"/>
      <c r="AR17" s="894"/>
      <c r="AS17" s="894"/>
      <c r="AT17" s="894"/>
      <c r="AU17" s="894"/>
      <c r="AV17" s="894"/>
      <c r="AW17" s="894"/>
      <c r="AX17" s="894"/>
      <c r="AY17" s="894"/>
      <c r="AZ17" s="894"/>
      <c r="BA17" s="894"/>
      <c r="BB17" s="894"/>
      <c r="BC17" s="454"/>
      <c r="BD17" s="1112"/>
      <c r="BE17" s="1112"/>
      <c r="BF17" s="1112"/>
      <c r="BG17" s="1112"/>
      <c r="BH17" s="1112"/>
      <c r="BI17" s="1117"/>
      <c r="BJ17" s="897"/>
      <c r="BK17" s="897"/>
      <c r="BL17" s="897"/>
      <c r="BM17" s="897"/>
      <c r="BN17" s="897"/>
      <c r="BO17" s="897"/>
      <c r="BP17" s="897"/>
      <c r="BQ17" s="897"/>
      <c r="BR17" s="897"/>
      <c r="BS17" s="897"/>
      <c r="BT17" s="897"/>
      <c r="BU17" s="897"/>
      <c r="BV17" s="442"/>
      <c r="BW17" s="1080"/>
      <c r="BX17" s="1080"/>
      <c r="BY17" s="1080"/>
      <c r="BZ17" s="1080"/>
      <c r="CA17" s="1080"/>
      <c r="CB17" s="1080"/>
      <c r="CD17" s="408"/>
      <c r="CE17" s="408"/>
      <c r="CL17" s="93">
        <f t="shared" si="0"/>
        <v>0</v>
      </c>
      <c r="CM17" s="93">
        <f t="shared" si="1"/>
        <v>0</v>
      </c>
      <c r="CN17" s="93">
        <f t="shared" si="2"/>
        <v>0</v>
      </c>
      <c r="CO17" s="93">
        <f t="shared" si="3"/>
        <v>0</v>
      </c>
    </row>
    <row r="18" spans="2:93" ht="17.45" customHeight="1" x14ac:dyDescent="0.2">
      <c r="B18" s="959"/>
      <c r="C18" s="1118" t="s">
        <v>454</v>
      </c>
      <c r="D18" s="1120" t="s">
        <v>605</v>
      </c>
      <c r="E18" s="1121"/>
      <c r="F18" s="1121"/>
      <c r="G18" s="1121"/>
      <c r="H18" s="1122"/>
      <c r="I18" s="455">
        <v>35</v>
      </c>
      <c r="J18" s="1123">
        <f>ROUND('15 CG RT'!C23,-3)</f>
        <v>0</v>
      </c>
      <c r="K18" s="1123"/>
      <c r="L18" s="1123"/>
      <c r="M18" s="1123"/>
      <c r="N18" s="1123"/>
      <c r="O18" s="1123"/>
      <c r="P18" s="1123"/>
      <c r="Q18" s="426">
        <v>47</v>
      </c>
      <c r="R18" s="1124">
        <v>0</v>
      </c>
      <c r="S18" s="1124"/>
      <c r="T18" s="1124"/>
      <c r="U18" s="1124"/>
      <c r="V18" s="1124"/>
      <c r="W18" s="1124"/>
      <c r="X18" s="1124"/>
      <c r="Y18" s="426">
        <v>63</v>
      </c>
      <c r="Z18" s="1123">
        <f>ROUND('16 CG RC'!B31,-3)</f>
        <v>0</v>
      </c>
      <c r="AA18" s="1123"/>
      <c r="AB18" s="1123"/>
      <c r="AC18" s="1123"/>
      <c r="AD18" s="1123"/>
      <c r="AE18" s="1123"/>
      <c r="AF18" s="1123"/>
      <c r="AG18" s="426">
        <v>80</v>
      </c>
      <c r="AH18" s="1125">
        <v>0</v>
      </c>
      <c r="AI18" s="1123"/>
      <c r="AJ18" s="1123"/>
      <c r="AK18" s="1123"/>
      <c r="AL18" s="1123"/>
      <c r="AM18" s="1123"/>
      <c r="AN18" s="1126"/>
      <c r="AQ18" s="1111"/>
      <c r="AR18" s="1004"/>
      <c r="AS18" s="897"/>
      <c r="AT18" s="897"/>
      <c r="AU18" s="897"/>
      <c r="AV18" s="897"/>
      <c r="AW18" s="897"/>
      <c r="AX18" s="897"/>
      <c r="AY18" s="897"/>
      <c r="AZ18" s="897"/>
      <c r="BA18" s="897"/>
      <c r="BB18" s="897"/>
      <c r="BC18" s="442"/>
      <c r="BD18" s="1062"/>
      <c r="BE18" s="1062"/>
      <c r="BF18" s="1062"/>
      <c r="BG18" s="1062"/>
      <c r="BH18" s="1062"/>
      <c r="BI18" s="1117"/>
      <c r="BJ18" s="894"/>
      <c r="BK18" s="894"/>
      <c r="BL18" s="894"/>
      <c r="BM18" s="894"/>
      <c r="BN18" s="894"/>
      <c r="BO18" s="894"/>
      <c r="BP18" s="894"/>
      <c r="BQ18" s="894"/>
      <c r="BR18" s="894"/>
      <c r="BS18" s="894"/>
      <c r="BT18" s="894"/>
      <c r="BU18" s="894"/>
      <c r="BV18" s="456"/>
      <c r="BW18" s="1080"/>
      <c r="BX18" s="1080"/>
      <c r="BY18" s="1080"/>
      <c r="BZ18" s="1080"/>
      <c r="CA18" s="1080"/>
      <c r="CB18" s="1080"/>
      <c r="CD18" s="448"/>
      <c r="CE18" s="408"/>
      <c r="CL18" s="93">
        <f t="shared" si="0"/>
        <v>0</v>
      </c>
      <c r="CM18" s="93">
        <f t="shared" si="1"/>
        <v>0</v>
      </c>
      <c r="CN18" s="93">
        <f t="shared" si="2"/>
        <v>0</v>
      </c>
      <c r="CO18" s="93">
        <f t="shared" si="3"/>
        <v>0</v>
      </c>
    </row>
    <row r="19" spans="2:93" ht="17.45" customHeight="1" x14ac:dyDescent="0.2">
      <c r="B19" s="959"/>
      <c r="C19" s="1119"/>
      <c r="D19" s="695" t="s">
        <v>606</v>
      </c>
      <c r="E19" s="653"/>
      <c r="F19" s="653"/>
      <c r="G19" s="653"/>
      <c r="H19" s="780"/>
      <c r="I19" s="457">
        <v>36</v>
      </c>
      <c r="J19" s="1060">
        <f>ROUND('15 CG RT'!C29,-3)</f>
        <v>21275000</v>
      </c>
      <c r="K19" s="1060"/>
      <c r="L19" s="1060"/>
      <c r="M19" s="1060"/>
      <c r="N19" s="1060"/>
      <c r="O19" s="1060"/>
      <c r="P19" s="1060"/>
      <c r="Q19" s="431">
        <v>48</v>
      </c>
      <c r="R19" s="1093">
        <v>0</v>
      </c>
      <c r="S19" s="1093"/>
      <c r="T19" s="1093"/>
      <c r="U19" s="1093"/>
      <c r="V19" s="1093"/>
      <c r="W19" s="1093"/>
      <c r="X19" s="1093"/>
      <c r="Y19" s="431">
        <v>64</v>
      </c>
      <c r="Z19" s="1060">
        <v>0</v>
      </c>
      <c r="AA19" s="1060"/>
      <c r="AB19" s="1060"/>
      <c r="AC19" s="1060"/>
      <c r="AD19" s="1060"/>
      <c r="AE19" s="1060"/>
      <c r="AF19" s="1060"/>
      <c r="AG19" s="431">
        <v>81</v>
      </c>
      <c r="AH19" s="1059">
        <v>0</v>
      </c>
      <c r="AI19" s="1060"/>
      <c r="AJ19" s="1060"/>
      <c r="AK19" s="1060"/>
      <c r="AL19" s="1060"/>
      <c r="AM19" s="1060"/>
      <c r="AN19" s="1061"/>
      <c r="AQ19" s="1111"/>
      <c r="AR19" s="1004"/>
      <c r="AS19" s="897"/>
      <c r="AT19" s="897"/>
      <c r="AU19" s="897"/>
      <c r="AV19" s="897"/>
      <c r="AW19" s="897"/>
      <c r="AX19" s="897"/>
      <c r="AY19" s="897"/>
      <c r="AZ19" s="897"/>
      <c r="BA19" s="897"/>
      <c r="BB19" s="897"/>
      <c r="BC19" s="442"/>
      <c r="BD19" s="1062"/>
      <c r="BE19" s="1062"/>
      <c r="BF19" s="1062"/>
      <c r="BG19" s="1062"/>
      <c r="BH19" s="1062"/>
      <c r="BI19" s="1117"/>
      <c r="BJ19" s="897"/>
      <c r="BK19" s="897"/>
      <c r="BL19" s="897"/>
      <c r="BM19" s="897"/>
      <c r="BN19" s="897"/>
      <c r="BO19" s="897"/>
      <c r="BP19" s="897"/>
      <c r="BQ19" s="897"/>
      <c r="BR19" s="897"/>
      <c r="BS19" s="897"/>
      <c r="BT19" s="897"/>
      <c r="BU19" s="897"/>
      <c r="BV19" s="442"/>
      <c r="BW19" s="1080"/>
      <c r="BX19" s="1080"/>
      <c r="BY19" s="1080"/>
      <c r="BZ19" s="1080"/>
      <c r="CA19" s="1080"/>
      <c r="CB19" s="1080"/>
      <c r="CD19" s="408"/>
      <c r="CE19" s="408"/>
      <c r="CL19" s="93">
        <f t="shared" si="0"/>
        <v>0</v>
      </c>
      <c r="CM19" s="93">
        <f t="shared" si="1"/>
        <v>0</v>
      </c>
      <c r="CN19" s="93">
        <f t="shared" si="2"/>
        <v>0</v>
      </c>
      <c r="CO19" s="93">
        <f t="shared" si="3"/>
        <v>0</v>
      </c>
    </row>
    <row r="20" spans="2:93" ht="17.45" customHeight="1" x14ac:dyDescent="0.25">
      <c r="B20" s="959"/>
      <c r="C20" s="1119"/>
      <c r="D20" s="1074" t="s">
        <v>467</v>
      </c>
      <c r="E20" s="1075"/>
      <c r="F20" s="1075"/>
      <c r="G20" s="1075"/>
      <c r="H20" s="1107"/>
      <c r="I20" s="458">
        <v>37</v>
      </c>
      <c r="J20" s="1108">
        <f>+J18+J19</f>
        <v>21275000</v>
      </c>
      <c r="K20" s="1108"/>
      <c r="L20" s="1108"/>
      <c r="M20" s="1108"/>
      <c r="N20" s="1108"/>
      <c r="O20" s="1108"/>
      <c r="P20" s="1108"/>
      <c r="Q20" s="445">
        <v>49</v>
      </c>
      <c r="R20" s="1057">
        <f>+R18+R19</f>
        <v>0</v>
      </c>
      <c r="S20" s="1057"/>
      <c r="T20" s="1057"/>
      <c r="U20" s="1057"/>
      <c r="V20" s="1057"/>
      <c r="W20" s="1057"/>
      <c r="X20" s="1057"/>
      <c r="Y20" s="445">
        <v>65</v>
      </c>
      <c r="Z20" s="1108">
        <f>+Z18+Z19</f>
        <v>0</v>
      </c>
      <c r="AA20" s="1108"/>
      <c r="AB20" s="1108"/>
      <c r="AC20" s="1108"/>
      <c r="AD20" s="1108"/>
      <c r="AE20" s="1108"/>
      <c r="AF20" s="1108"/>
      <c r="AG20" s="445">
        <v>82</v>
      </c>
      <c r="AH20" s="1109">
        <f>+AH18+AH19</f>
        <v>0</v>
      </c>
      <c r="AI20" s="1108"/>
      <c r="AJ20" s="1108"/>
      <c r="AK20" s="1108"/>
      <c r="AL20" s="1108"/>
      <c r="AM20" s="1108"/>
      <c r="AN20" s="1110"/>
      <c r="AO20" s="447"/>
      <c r="AQ20" s="1111"/>
      <c r="AR20" s="1004"/>
      <c r="AS20" s="897"/>
      <c r="AT20" s="897"/>
      <c r="AU20" s="897"/>
      <c r="AV20" s="897"/>
      <c r="AW20" s="897"/>
      <c r="AX20" s="897"/>
      <c r="AY20" s="897"/>
      <c r="AZ20" s="897"/>
      <c r="BA20" s="897"/>
      <c r="BB20" s="897"/>
      <c r="BC20" s="442"/>
      <c r="BD20" s="1062"/>
      <c r="BE20" s="1062"/>
      <c r="BF20" s="1062"/>
      <c r="BG20" s="1062"/>
      <c r="BH20" s="1062"/>
      <c r="BI20" s="1117"/>
      <c r="BJ20" s="894"/>
      <c r="BK20" s="894"/>
      <c r="BL20" s="894"/>
      <c r="BM20" s="894"/>
      <c r="BN20" s="894"/>
      <c r="BO20" s="894"/>
      <c r="BP20" s="894"/>
      <c r="BQ20" s="894"/>
      <c r="BR20" s="894"/>
      <c r="BS20" s="894"/>
      <c r="BT20" s="894"/>
      <c r="BU20" s="894"/>
      <c r="BV20" s="456"/>
      <c r="BW20" s="917"/>
      <c r="BX20" s="917"/>
      <c r="BY20" s="917"/>
      <c r="BZ20" s="917"/>
      <c r="CA20" s="917"/>
      <c r="CB20" s="917"/>
      <c r="CD20" s="408"/>
      <c r="CE20" s="408"/>
      <c r="CL20" s="93">
        <f t="shared" si="0"/>
        <v>0</v>
      </c>
      <c r="CM20" s="93">
        <f t="shared" si="1"/>
        <v>0</v>
      </c>
      <c r="CN20" s="93">
        <f t="shared" si="2"/>
        <v>0</v>
      </c>
      <c r="CO20" s="93">
        <f t="shared" si="3"/>
        <v>0</v>
      </c>
    </row>
    <row r="21" spans="2:93" ht="17.45" customHeight="1" x14ac:dyDescent="0.2">
      <c r="B21" s="959"/>
      <c r="C21" s="1100" t="s">
        <v>456</v>
      </c>
      <c r="D21" s="1167" t="s">
        <v>466</v>
      </c>
      <c r="E21" s="736"/>
      <c r="F21" s="736"/>
      <c r="G21" s="736"/>
      <c r="H21" s="1168"/>
      <c r="I21" s="455">
        <v>38</v>
      </c>
      <c r="J21" s="1169">
        <f>ROUND('15 CG RT'!C34,-3)</f>
        <v>0</v>
      </c>
      <c r="K21" s="1169"/>
      <c r="L21" s="1169"/>
      <c r="M21" s="1169"/>
      <c r="N21" s="1169"/>
      <c r="O21" s="1169"/>
      <c r="P21" s="1169"/>
      <c r="Q21" s="459">
        <v>50</v>
      </c>
      <c r="R21" s="1170">
        <v>0</v>
      </c>
      <c r="S21" s="1170"/>
      <c r="T21" s="1170"/>
      <c r="U21" s="1170"/>
      <c r="V21" s="1170"/>
      <c r="W21" s="1170"/>
      <c r="X21" s="1170"/>
      <c r="Y21" s="459">
        <v>66</v>
      </c>
      <c r="Z21" s="1169">
        <v>0</v>
      </c>
      <c r="AA21" s="1169"/>
      <c r="AB21" s="1169"/>
      <c r="AC21" s="1169"/>
      <c r="AD21" s="1169"/>
      <c r="AE21" s="1169"/>
      <c r="AF21" s="1169"/>
      <c r="AG21" s="426">
        <v>83</v>
      </c>
      <c r="AH21" s="1171">
        <v>0</v>
      </c>
      <c r="AI21" s="1169"/>
      <c r="AJ21" s="1169"/>
      <c r="AK21" s="1169"/>
      <c r="AL21" s="1169"/>
      <c r="AM21" s="1169"/>
      <c r="AN21" s="1172"/>
      <c r="AO21" s="447"/>
      <c r="AQ21" s="1111"/>
      <c r="AR21" s="1004"/>
      <c r="AS21" s="894"/>
      <c r="AT21" s="894"/>
      <c r="AU21" s="894"/>
      <c r="AV21" s="894"/>
      <c r="AW21" s="894"/>
      <c r="AX21" s="894"/>
      <c r="AY21" s="894"/>
      <c r="AZ21" s="894"/>
      <c r="BA21" s="894"/>
      <c r="BB21" s="894"/>
      <c r="BC21" s="454"/>
      <c r="BD21" s="1112"/>
      <c r="BE21" s="1112"/>
      <c r="BF21" s="1112"/>
      <c r="BG21" s="1112"/>
      <c r="BH21" s="1112"/>
      <c r="BI21" s="1113"/>
      <c r="BJ21" s="897"/>
      <c r="BK21" s="897"/>
      <c r="BL21" s="897"/>
      <c r="BM21" s="897"/>
      <c r="BN21" s="897"/>
      <c r="BO21" s="897"/>
      <c r="BP21" s="897"/>
      <c r="BQ21" s="897"/>
      <c r="BR21" s="897"/>
      <c r="BS21" s="897"/>
      <c r="BT21" s="897"/>
      <c r="BU21" s="897"/>
      <c r="BV21" s="442"/>
      <c r="BW21" s="1114"/>
      <c r="BX21" s="1114"/>
      <c r="BY21" s="1114"/>
      <c r="BZ21" s="1114"/>
      <c r="CA21" s="1114"/>
      <c r="CB21" s="1114"/>
      <c r="CD21" s="408"/>
      <c r="CE21" s="448"/>
      <c r="CL21" s="93">
        <f t="shared" si="0"/>
        <v>0</v>
      </c>
      <c r="CM21" s="93">
        <f t="shared" si="1"/>
        <v>0</v>
      </c>
      <c r="CN21" s="93">
        <f t="shared" si="2"/>
        <v>0</v>
      </c>
      <c r="CO21" s="93">
        <f t="shared" si="3"/>
        <v>0</v>
      </c>
    </row>
    <row r="22" spans="2:93" ht="17.45" customHeight="1" x14ac:dyDescent="0.2">
      <c r="B22" s="959"/>
      <c r="C22" s="1100"/>
      <c r="D22" s="948" t="s">
        <v>468</v>
      </c>
      <c r="E22" s="949"/>
      <c r="F22" s="949"/>
      <c r="G22" s="949"/>
      <c r="H22" s="950"/>
      <c r="I22" s="457">
        <v>39</v>
      </c>
      <c r="J22" s="1115">
        <f>ROUND(('15 CG RT'!C39),-3)</f>
        <v>0</v>
      </c>
      <c r="K22" s="1115"/>
      <c r="L22" s="1115"/>
      <c r="M22" s="1115"/>
      <c r="N22" s="1115"/>
      <c r="O22" s="1115"/>
      <c r="P22" s="1115"/>
      <c r="Q22" s="435">
        <v>51</v>
      </c>
      <c r="R22" s="1116">
        <v>0</v>
      </c>
      <c r="S22" s="1116"/>
      <c r="T22" s="1116"/>
      <c r="U22" s="1116"/>
      <c r="V22" s="1116"/>
      <c r="W22" s="1116"/>
      <c r="X22" s="1116"/>
      <c r="Y22" s="435">
        <v>67</v>
      </c>
      <c r="Z22" s="1115">
        <f>ROUND('16 CG RC'!B32,-3)</f>
        <v>295000</v>
      </c>
      <c r="AA22" s="1115"/>
      <c r="AB22" s="1115"/>
      <c r="AC22" s="1115"/>
      <c r="AD22" s="1115"/>
      <c r="AE22" s="1115"/>
      <c r="AF22" s="1115"/>
      <c r="AG22" s="435">
        <v>84</v>
      </c>
      <c r="AH22" s="1146">
        <v>0</v>
      </c>
      <c r="AI22" s="1115"/>
      <c r="AJ22" s="1115"/>
      <c r="AK22" s="1115"/>
      <c r="AL22" s="1115"/>
      <c r="AM22" s="1115"/>
      <c r="AN22" s="1147"/>
      <c r="AO22" s="447"/>
      <c r="AQ22" s="1111"/>
      <c r="AR22" s="1004"/>
      <c r="AS22" s="897"/>
      <c r="AT22" s="897"/>
      <c r="AU22" s="897"/>
      <c r="AV22" s="897"/>
      <c r="AW22" s="897"/>
      <c r="AX22" s="897"/>
      <c r="AY22" s="897"/>
      <c r="AZ22" s="897"/>
      <c r="BA22" s="897"/>
      <c r="BB22" s="897"/>
      <c r="BC22" s="460"/>
      <c r="BD22" s="904"/>
      <c r="BE22" s="904"/>
      <c r="BF22" s="904"/>
      <c r="BG22" s="904"/>
      <c r="BH22" s="904"/>
      <c r="BI22" s="1113"/>
      <c r="BJ22" s="897"/>
      <c r="BK22" s="897"/>
      <c r="BL22" s="897"/>
      <c r="BM22" s="897"/>
      <c r="BN22" s="897"/>
      <c r="BO22" s="897"/>
      <c r="BP22" s="897"/>
      <c r="BQ22" s="897"/>
      <c r="BR22" s="897"/>
      <c r="BS22" s="897"/>
      <c r="BT22" s="897"/>
      <c r="BU22" s="897"/>
      <c r="BV22" s="443"/>
      <c r="BW22" s="1080"/>
      <c r="BX22" s="1080"/>
      <c r="BY22" s="1080"/>
      <c r="BZ22" s="1080"/>
      <c r="CA22" s="1080"/>
      <c r="CB22" s="1080"/>
      <c r="CD22" s="408"/>
      <c r="CE22" s="408"/>
      <c r="CL22" s="93">
        <f t="shared" si="0"/>
        <v>0</v>
      </c>
      <c r="CM22" s="93">
        <f t="shared" si="1"/>
        <v>0</v>
      </c>
      <c r="CN22" s="93">
        <f t="shared" si="2"/>
        <v>0</v>
      </c>
      <c r="CO22" s="93">
        <f t="shared" si="3"/>
        <v>0</v>
      </c>
    </row>
    <row r="23" spans="2:93" ht="17.45" customHeight="1" x14ac:dyDescent="0.25">
      <c r="B23" s="959"/>
      <c r="C23" s="1101"/>
      <c r="D23" s="1005" t="s">
        <v>469</v>
      </c>
      <c r="E23" s="671"/>
      <c r="F23" s="671"/>
      <c r="G23" s="671"/>
      <c r="H23" s="762"/>
      <c r="I23" s="458">
        <v>40</v>
      </c>
      <c r="J23" s="1102">
        <f>+J21+J22</f>
        <v>0</v>
      </c>
      <c r="K23" s="1102"/>
      <c r="L23" s="1102"/>
      <c r="M23" s="1102"/>
      <c r="N23" s="1102"/>
      <c r="O23" s="1102"/>
      <c r="P23" s="1102"/>
      <c r="Q23" s="461">
        <v>52</v>
      </c>
      <c r="R23" s="1103">
        <f>+R21+R22</f>
        <v>0</v>
      </c>
      <c r="S23" s="1103"/>
      <c r="T23" s="1103"/>
      <c r="U23" s="1103"/>
      <c r="V23" s="1103"/>
      <c r="W23" s="1103"/>
      <c r="X23" s="1103"/>
      <c r="Y23" s="461">
        <v>68</v>
      </c>
      <c r="Z23" s="1102">
        <f>+Z21+Z22</f>
        <v>295000</v>
      </c>
      <c r="AA23" s="1102"/>
      <c r="AB23" s="1102"/>
      <c r="AC23" s="1102"/>
      <c r="AD23" s="1102"/>
      <c r="AE23" s="1102"/>
      <c r="AF23" s="1102"/>
      <c r="AG23" s="445">
        <v>85</v>
      </c>
      <c r="AH23" s="1104">
        <f>+AH21+AH22</f>
        <v>0</v>
      </c>
      <c r="AI23" s="1102"/>
      <c r="AJ23" s="1102"/>
      <c r="AK23" s="1102"/>
      <c r="AL23" s="1102"/>
      <c r="AM23" s="1102"/>
      <c r="AN23" s="1105"/>
      <c r="AO23" s="447"/>
      <c r="AQ23" s="1111"/>
      <c r="AR23" s="1004"/>
      <c r="AS23" s="894"/>
      <c r="AT23" s="894"/>
      <c r="AU23" s="894"/>
      <c r="AV23" s="894"/>
      <c r="AW23" s="894"/>
      <c r="AX23" s="894"/>
      <c r="AY23" s="894"/>
      <c r="AZ23" s="894"/>
      <c r="BA23" s="894"/>
      <c r="BB23" s="894"/>
      <c r="BC23" s="460"/>
      <c r="BD23" s="895"/>
      <c r="BE23" s="895"/>
      <c r="BF23" s="895"/>
      <c r="BG23" s="895"/>
      <c r="BH23" s="895"/>
      <c r="BI23" s="1113"/>
      <c r="BJ23" s="894"/>
      <c r="BK23" s="894"/>
      <c r="BL23" s="894"/>
      <c r="BM23" s="894"/>
      <c r="BN23" s="894"/>
      <c r="BO23" s="894"/>
      <c r="BP23" s="894"/>
      <c r="BQ23" s="894"/>
      <c r="BR23" s="894"/>
      <c r="BS23" s="894"/>
      <c r="BT23" s="894"/>
      <c r="BU23" s="894"/>
      <c r="BV23" s="462"/>
      <c r="BW23" s="1106"/>
      <c r="BX23" s="1106"/>
      <c r="BY23" s="1106"/>
      <c r="BZ23" s="1106"/>
      <c r="CA23" s="1106"/>
      <c r="CB23" s="1106"/>
      <c r="CC23" s="406"/>
      <c r="CD23" s="448"/>
      <c r="CE23" s="408"/>
      <c r="CL23" s="93">
        <f t="shared" si="0"/>
        <v>0</v>
      </c>
      <c r="CM23" s="93">
        <f t="shared" si="1"/>
        <v>0</v>
      </c>
      <c r="CN23" s="93">
        <f t="shared" si="2"/>
        <v>0</v>
      </c>
      <c r="CO23" s="93">
        <f t="shared" si="3"/>
        <v>0</v>
      </c>
    </row>
    <row r="24" spans="2:93" ht="17.45" customHeight="1" x14ac:dyDescent="0.25">
      <c r="B24" s="959"/>
      <c r="C24" s="1094" t="s">
        <v>607</v>
      </c>
      <c r="D24" s="1095"/>
      <c r="E24" s="1095"/>
      <c r="F24" s="1095"/>
      <c r="G24" s="1095"/>
      <c r="H24" s="1095"/>
      <c r="I24" s="444">
        <v>41</v>
      </c>
      <c r="J24" s="1096">
        <f>ROUND('15 CG RT'!C47,-3)</f>
        <v>21275000</v>
      </c>
      <c r="K24" s="1096"/>
      <c r="L24" s="1096"/>
      <c r="M24" s="1096"/>
      <c r="N24" s="1096"/>
      <c r="O24" s="1096"/>
      <c r="P24" s="1096"/>
      <c r="Q24" s="463">
        <v>53</v>
      </c>
      <c r="R24" s="1097">
        <v>0</v>
      </c>
      <c r="S24" s="1097"/>
      <c r="T24" s="1097"/>
      <c r="U24" s="1097"/>
      <c r="V24" s="1097"/>
      <c r="W24" s="1097"/>
      <c r="X24" s="1097"/>
      <c r="Y24" s="463">
        <v>69</v>
      </c>
      <c r="Z24" s="1096">
        <f>ROUND('16 CG RC'!B33,-3)</f>
        <v>295000</v>
      </c>
      <c r="AA24" s="1096"/>
      <c r="AB24" s="1096"/>
      <c r="AC24" s="1096"/>
      <c r="AD24" s="1096"/>
      <c r="AE24" s="1096"/>
      <c r="AF24" s="1096"/>
      <c r="AG24" s="463">
        <v>86</v>
      </c>
      <c r="AH24" s="1098">
        <v>0</v>
      </c>
      <c r="AI24" s="1096"/>
      <c r="AJ24" s="1096"/>
      <c r="AK24" s="1096"/>
      <c r="AL24" s="1096"/>
      <c r="AM24" s="1096"/>
      <c r="AN24" s="1099"/>
      <c r="AQ24" s="1111"/>
      <c r="AR24" s="1004"/>
      <c r="AS24" s="894"/>
      <c r="AT24" s="894"/>
      <c r="AU24" s="894"/>
      <c r="AV24" s="894"/>
      <c r="AW24" s="894"/>
      <c r="AX24" s="894"/>
      <c r="AY24" s="894"/>
      <c r="AZ24" s="894"/>
      <c r="BA24" s="894"/>
      <c r="BB24" s="894"/>
      <c r="BC24" s="464"/>
      <c r="BD24" s="895"/>
      <c r="BE24" s="895"/>
      <c r="BF24" s="895"/>
      <c r="BG24" s="895"/>
      <c r="BH24" s="895"/>
      <c r="BI24" s="1113"/>
      <c r="BJ24" s="897"/>
      <c r="BK24" s="897"/>
      <c r="BL24" s="897"/>
      <c r="BM24" s="897"/>
      <c r="BN24" s="897"/>
      <c r="BO24" s="897"/>
      <c r="BP24" s="897"/>
      <c r="BQ24" s="897"/>
      <c r="BR24" s="897"/>
      <c r="BS24" s="897"/>
      <c r="BT24" s="897"/>
      <c r="BU24" s="897"/>
      <c r="BV24" s="443"/>
      <c r="BW24" s="1080"/>
      <c r="BX24" s="1080"/>
      <c r="BY24" s="1080"/>
      <c r="BZ24" s="1080"/>
      <c r="CA24" s="1080"/>
      <c r="CB24" s="1080"/>
      <c r="CC24" s="406"/>
      <c r="CD24" s="408"/>
      <c r="CE24" s="408"/>
      <c r="CL24" s="93">
        <f t="shared" si="0"/>
        <v>0</v>
      </c>
      <c r="CM24" s="93">
        <f t="shared" si="1"/>
        <v>0</v>
      </c>
      <c r="CN24" s="93">
        <f t="shared" si="2"/>
        <v>0</v>
      </c>
      <c r="CO24" s="93">
        <f t="shared" si="3"/>
        <v>0</v>
      </c>
    </row>
    <row r="25" spans="2:93" ht="17.45" customHeight="1" x14ac:dyDescent="0.25">
      <c r="B25" s="959"/>
      <c r="C25" s="657" t="s">
        <v>608</v>
      </c>
      <c r="D25" s="658"/>
      <c r="E25" s="658"/>
      <c r="F25" s="658"/>
      <c r="G25" s="658"/>
      <c r="H25" s="658"/>
      <c r="I25" s="465"/>
      <c r="J25" s="1081"/>
      <c r="K25" s="1081"/>
      <c r="L25" s="1081"/>
      <c r="M25" s="1081"/>
      <c r="N25" s="1081"/>
      <c r="O25" s="1081"/>
      <c r="P25" s="1081"/>
      <c r="Q25" s="466">
        <v>54</v>
      </c>
      <c r="R25" s="1082">
        <f>IF(R12-R14-R15-R24&lt;0,0,R12-R14-R15-R24)</f>
        <v>0</v>
      </c>
      <c r="S25" s="1082"/>
      <c r="T25" s="1082"/>
      <c r="U25" s="1082"/>
      <c r="V25" s="1082"/>
      <c r="W25" s="1082"/>
      <c r="X25" s="1082"/>
      <c r="Y25" s="466">
        <v>70</v>
      </c>
      <c r="Z25" s="1083">
        <f>IF(Z12+Z17-Z14-Z15-Z24&lt;0,0,Z12+Z17-Z14-Z15-Z24)</f>
        <v>36229000</v>
      </c>
      <c r="AA25" s="1083"/>
      <c r="AB25" s="1083"/>
      <c r="AC25" s="1083"/>
      <c r="AD25" s="1083"/>
      <c r="AE25" s="1083"/>
      <c r="AF25" s="1083"/>
      <c r="AG25" s="466">
        <v>87</v>
      </c>
      <c r="AH25" s="1084">
        <f>IF(AH12-AH13+AH17-AH14-AH15-AH24&lt;0,0,AH12-AH13+AH17-AH14-AH15-AH24)</f>
        <v>288177000</v>
      </c>
      <c r="AI25" s="1083"/>
      <c r="AJ25" s="1083"/>
      <c r="AK25" s="1083"/>
      <c r="AL25" s="1083"/>
      <c r="AM25" s="1083"/>
      <c r="AN25" s="1085"/>
      <c r="AO25" s="447"/>
      <c r="AQ25" s="1111"/>
      <c r="AR25" s="1024"/>
      <c r="AS25" s="897"/>
      <c r="AT25" s="897"/>
      <c r="AU25" s="897"/>
      <c r="AV25" s="897"/>
      <c r="AW25" s="897"/>
      <c r="AX25" s="897"/>
      <c r="AY25" s="897"/>
      <c r="AZ25" s="897"/>
      <c r="BA25" s="897"/>
      <c r="BB25" s="897"/>
      <c r="BC25" s="442"/>
      <c r="BD25" s="1062"/>
      <c r="BE25" s="1062"/>
      <c r="BF25" s="1062"/>
      <c r="BG25" s="1062"/>
      <c r="BH25" s="1062"/>
      <c r="BI25" s="1113"/>
      <c r="BJ25" s="897"/>
      <c r="BK25" s="897"/>
      <c r="BL25" s="897"/>
      <c r="BM25" s="897"/>
      <c r="BN25" s="897"/>
      <c r="BO25" s="897"/>
      <c r="BP25" s="897"/>
      <c r="BQ25" s="897"/>
      <c r="BR25" s="897"/>
      <c r="BS25" s="897"/>
      <c r="BT25" s="897"/>
      <c r="BU25" s="897"/>
      <c r="BV25" s="443"/>
      <c r="BW25" s="1080"/>
      <c r="BX25" s="1080"/>
      <c r="BY25" s="1080"/>
      <c r="BZ25" s="1080"/>
      <c r="CA25" s="1080"/>
      <c r="CB25" s="1080"/>
      <c r="CD25" s="408"/>
      <c r="CE25" s="408"/>
      <c r="CL25" s="93">
        <f t="shared" si="0"/>
        <v>0</v>
      </c>
      <c r="CM25" s="93">
        <f t="shared" si="1"/>
        <v>0</v>
      </c>
      <c r="CN25" s="93">
        <f t="shared" si="2"/>
        <v>0</v>
      </c>
      <c r="CO25" s="93">
        <f t="shared" si="3"/>
        <v>0</v>
      </c>
    </row>
    <row r="26" spans="2:93" ht="18.95" customHeight="1" x14ac:dyDescent="0.25">
      <c r="B26" s="959"/>
      <c r="C26" s="1086" t="s">
        <v>609</v>
      </c>
      <c r="D26" s="1087"/>
      <c r="E26" s="1087"/>
      <c r="F26" s="1087"/>
      <c r="G26" s="1087"/>
      <c r="H26" s="1087"/>
      <c r="I26" s="465"/>
      <c r="J26" s="1081"/>
      <c r="K26" s="1081"/>
      <c r="L26" s="1081"/>
      <c r="M26" s="1081"/>
      <c r="N26" s="1081"/>
      <c r="O26" s="1081"/>
      <c r="P26" s="1081"/>
      <c r="Q26" s="446">
        <v>55</v>
      </c>
      <c r="R26" s="1088">
        <f>IF(R14+R15-R12&lt;0,0,R14+R15-R12)</f>
        <v>0</v>
      </c>
      <c r="S26" s="1088"/>
      <c r="T26" s="1088"/>
      <c r="U26" s="1088"/>
      <c r="V26" s="1088"/>
      <c r="W26" s="1088"/>
      <c r="X26" s="1088"/>
      <c r="Y26" s="446">
        <v>71</v>
      </c>
      <c r="Z26" s="1089">
        <f>IF(Z14+Z15-Z12-Z17&lt;0,0,Z14+Z15-Z12-Z17)</f>
        <v>0</v>
      </c>
      <c r="AA26" s="1089"/>
      <c r="AB26" s="1089"/>
      <c r="AC26" s="1089"/>
      <c r="AD26" s="1089"/>
      <c r="AE26" s="1089"/>
      <c r="AF26" s="1089"/>
      <c r="AG26" s="446">
        <v>88</v>
      </c>
      <c r="AH26" s="1090">
        <f>IF(AH14+AH13+AH15-AH12-AH17&lt;0,0,AH14+AH13+AH15-AH12-AH17)</f>
        <v>0</v>
      </c>
      <c r="AI26" s="1089"/>
      <c r="AJ26" s="1089"/>
      <c r="AK26" s="1089"/>
      <c r="AL26" s="1089"/>
      <c r="AM26" s="1089"/>
      <c r="AN26" s="1091"/>
      <c r="AO26" s="447"/>
      <c r="AQ26" s="1111"/>
      <c r="AR26" s="1024"/>
      <c r="AS26" s="897"/>
      <c r="AT26" s="897"/>
      <c r="AU26" s="897"/>
      <c r="AV26" s="897"/>
      <c r="AW26" s="897"/>
      <c r="AX26" s="897"/>
      <c r="AY26" s="897"/>
      <c r="AZ26" s="897"/>
      <c r="BA26" s="897"/>
      <c r="BB26" s="897"/>
      <c r="BC26" s="442"/>
      <c r="BD26" s="1062"/>
      <c r="BE26" s="1062"/>
      <c r="BF26" s="1062"/>
      <c r="BG26" s="1062"/>
      <c r="BH26" s="1062"/>
      <c r="BI26" s="1113"/>
      <c r="BJ26" s="897"/>
      <c r="BK26" s="897"/>
      <c r="BL26" s="897"/>
      <c r="BM26" s="897"/>
      <c r="BN26" s="897"/>
      <c r="BO26" s="897"/>
      <c r="BP26" s="897"/>
      <c r="BQ26" s="897"/>
      <c r="BR26" s="897"/>
      <c r="BS26" s="897"/>
      <c r="BT26" s="897"/>
      <c r="BU26" s="897"/>
      <c r="BV26" s="443"/>
      <c r="BW26" s="917"/>
      <c r="BX26" s="917"/>
      <c r="BY26" s="917"/>
      <c r="BZ26" s="917"/>
      <c r="CA26" s="917"/>
      <c r="CB26" s="917"/>
      <c r="CD26" s="408"/>
      <c r="CE26" s="408"/>
      <c r="CL26" s="93">
        <f t="shared" si="0"/>
        <v>0</v>
      </c>
      <c r="CM26" s="93">
        <f t="shared" si="1"/>
        <v>0</v>
      </c>
      <c r="CN26" s="93">
        <f t="shared" si="2"/>
        <v>0</v>
      </c>
      <c r="CO26" s="93">
        <f t="shared" si="3"/>
        <v>0</v>
      </c>
    </row>
    <row r="27" spans="2:93" ht="17.45" customHeight="1" x14ac:dyDescent="0.2">
      <c r="B27" s="959"/>
      <c r="C27" s="695" t="s">
        <v>610</v>
      </c>
      <c r="D27" s="653"/>
      <c r="E27" s="653"/>
      <c r="F27" s="653"/>
      <c r="G27" s="653"/>
      <c r="H27" s="653"/>
      <c r="I27" s="467"/>
      <c r="J27" s="1092"/>
      <c r="K27" s="1092"/>
      <c r="L27" s="1092"/>
      <c r="M27" s="1092"/>
      <c r="N27" s="1092"/>
      <c r="O27" s="1092"/>
      <c r="P27" s="1092"/>
      <c r="Q27" s="431">
        <v>56</v>
      </c>
      <c r="R27" s="1093">
        <v>0</v>
      </c>
      <c r="S27" s="1093"/>
      <c r="T27" s="1093"/>
      <c r="U27" s="1093"/>
      <c r="V27" s="1093"/>
      <c r="W27" s="1093"/>
      <c r="X27" s="1093"/>
      <c r="Y27" s="431">
        <v>72</v>
      </c>
      <c r="Z27" s="1060">
        <v>0</v>
      </c>
      <c r="AA27" s="1060"/>
      <c r="AB27" s="1060"/>
      <c r="AC27" s="1060"/>
      <c r="AD27" s="1060"/>
      <c r="AE27" s="1060"/>
      <c r="AF27" s="1060"/>
      <c r="AG27" s="431">
        <v>89</v>
      </c>
      <c r="AH27" s="1059">
        <v>0</v>
      </c>
      <c r="AI27" s="1060"/>
      <c r="AJ27" s="1060"/>
      <c r="AK27" s="1060"/>
      <c r="AL27" s="1060"/>
      <c r="AM27" s="1060"/>
      <c r="AN27" s="1061"/>
      <c r="AQ27" s="1111"/>
      <c r="AR27" s="1024"/>
      <c r="AS27" s="897"/>
      <c r="AT27" s="897"/>
      <c r="AU27" s="897"/>
      <c r="AV27" s="897"/>
      <c r="AW27" s="897"/>
      <c r="AX27" s="897"/>
      <c r="AY27" s="897"/>
      <c r="AZ27" s="897"/>
      <c r="BA27" s="897"/>
      <c r="BB27" s="897"/>
      <c r="BC27" s="442"/>
      <c r="BD27" s="1062"/>
      <c r="BE27" s="1062"/>
      <c r="BF27" s="1062"/>
      <c r="BG27" s="1062"/>
      <c r="BH27" s="1062"/>
      <c r="BI27" s="1113"/>
      <c r="BJ27" s="897"/>
      <c r="BK27" s="897"/>
      <c r="BL27" s="897"/>
      <c r="BM27" s="897"/>
      <c r="BN27" s="897"/>
      <c r="BO27" s="897"/>
      <c r="BP27" s="897"/>
      <c r="BQ27" s="897"/>
      <c r="BR27" s="897"/>
      <c r="BS27" s="897"/>
      <c r="BT27" s="897"/>
      <c r="BU27" s="897"/>
      <c r="BV27" s="443"/>
      <c r="BW27" s="917"/>
      <c r="BX27" s="917"/>
      <c r="BY27" s="917"/>
      <c r="BZ27" s="917"/>
      <c r="CA27" s="917"/>
      <c r="CB27" s="917"/>
      <c r="CD27" s="408"/>
      <c r="CE27" s="408"/>
      <c r="CL27" s="93">
        <f t="shared" si="0"/>
        <v>0</v>
      </c>
      <c r="CM27" s="93">
        <f t="shared" si="1"/>
        <v>0</v>
      </c>
      <c r="CN27" s="93">
        <f t="shared" si="2"/>
        <v>0</v>
      </c>
      <c r="CO27" s="93">
        <f t="shared" si="3"/>
        <v>0</v>
      </c>
    </row>
    <row r="28" spans="2:93" ht="17.45" customHeight="1" x14ac:dyDescent="0.2">
      <c r="B28" s="959"/>
      <c r="C28" s="1074" t="s">
        <v>472</v>
      </c>
      <c r="D28" s="1075"/>
      <c r="E28" s="1075"/>
      <c r="F28" s="1075"/>
      <c r="G28" s="1075"/>
      <c r="H28" s="1075"/>
      <c r="I28" s="444">
        <v>42</v>
      </c>
      <c r="J28" s="1057">
        <f>IF(J16-J24&lt;0,0,J16-J24)</f>
        <v>47025000</v>
      </c>
      <c r="K28" s="1057"/>
      <c r="L28" s="1057"/>
      <c r="M28" s="1057"/>
      <c r="N28" s="1057"/>
      <c r="O28" s="1057"/>
      <c r="P28" s="1057"/>
      <c r="Q28" s="445">
        <v>57</v>
      </c>
      <c r="R28" s="1057">
        <f>IF(R25=0,0,R25-R27)</f>
        <v>0</v>
      </c>
      <c r="S28" s="1057"/>
      <c r="T28" s="1057"/>
      <c r="U28" s="1057"/>
      <c r="V28" s="1057"/>
      <c r="W28" s="1057"/>
      <c r="X28" s="1057"/>
      <c r="Y28" s="445">
        <v>73</v>
      </c>
      <c r="Z28" s="1057">
        <f>IF(Z25=0,0,Z25-Z27)</f>
        <v>36229000</v>
      </c>
      <c r="AA28" s="1057"/>
      <c r="AB28" s="1057"/>
      <c r="AC28" s="1057"/>
      <c r="AD28" s="1057"/>
      <c r="AE28" s="1057"/>
      <c r="AF28" s="1057"/>
      <c r="AG28" s="445">
        <v>90</v>
      </c>
      <c r="AH28" s="1056">
        <f>IF(AH25=0,0,AH25-AH27)</f>
        <v>288177000</v>
      </c>
      <c r="AI28" s="1057"/>
      <c r="AJ28" s="1057"/>
      <c r="AK28" s="1057"/>
      <c r="AL28" s="1057"/>
      <c r="AM28" s="1057"/>
      <c r="AN28" s="1058"/>
      <c r="AO28" s="447"/>
      <c r="AQ28" s="1111"/>
      <c r="AR28" s="1024"/>
      <c r="AS28" s="894"/>
      <c r="AT28" s="894"/>
      <c r="AU28" s="894"/>
      <c r="AV28" s="894"/>
      <c r="AW28" s="894"/>
      <c r="AX28" s="894"/>
      <c r="AY28" s="894"/>
      <c r="AZ28" s="894"/>
      <c r="BA28" s="894"/>
      <c r="BB28" s="894"/>
      <c r="BC28" s="454"/>
      <c r="BD28" s="895"/>
      <c r="BE28" s="895"/>
      <c r="BF28" s="895"/>
      <c r="BG28" s="895"/>
      <c r="BH28" s="895"/>
      <c r="BI28" s="1024"/>
      <c r="BJ28" s="897"/>
      <c r="BK28" s="897"/>
      <c r="BL28" s="897"/>
      <c r="BM28" s="897"/>
      <c r="BN28" s="897"/>
      <c r="BO28" s="897"/>
      <c r="BP28" s="897"/>
      <c r="BQ28" s="897"/>
      <c r="BR28" s="897"/>
      <c r="BS28" s="897"/>
      <c r="BT28" s="897"/>
      <c r="BU28" s="897"/>
      <c r="BV28" s="443"/>
      <c r="BW28" s="917"/>
      <c r="BX28" s="917"/>
      <c r="BY28" s="917"/>
      <c r="BZ28" s="917"/>
      <c r="CA28" s="917"/>
      <c r="CB28" s="917"/>
      <c r="CD28" s="408"/>
      <c r="CE28" s="448"/>
      <c r="CL28" s="93">
        <f t="shared" si="0"/>
        <v>0</v>
      </c>
      <c r="CM28" s="93">
        <f t="shared" si="1"/>
        <v>0</v>
      </c>
      <c r="CN28" s="93">
        <f t="shared" si="2"/>
        <v>0</v>
      </c>
      <c r="CO28" s="93">
        <f t="shared" si="3"/>
        <v>0</v>
      </c>
    </row>
    <row r="29" spans="2:93" ht="17.45" customHeight="1" x14ac:dyDescent="0.25">
      <c r="B29" s="959"/>
      <c r="C29" s="1063" t="s">
        <v>611</v>
      </c>
      <c r="D29" s="1063"/>
      <c r="E29" s="1063"/>
      <c r="F29" s="461">
        <v>91</v>
      </c>
      <c r="G29" s="1064">
        <f>+J24+J28+R24+R28+Z24+Z28+AH24+AH28</f>
        <v>393001000</v>
      </c>
      <c r="H29" s="1065"/>
      <c r="I29" s="1065"/>
      <c r="J29" s="1065"/>
      <c r="K29" s="1066"/>
      <c r="L29" s="1063" t="s">
        <v>612</v>
      </c>
      <c r="M29" s="1063"/>
      <c r="N29" s="1063"/>
      <c r="O29" s="468">
        <v>92</v>
      </c>
      <c r="P29" s="1067">
        <f>+J24+R24+Z24+AH24</f>
        <v>21570000</v>
      </c>
      <c r="Q29" s="1068"/>
      <c r="R29" s="1068"/>
      <c r="S29" s="1068"/>
      <c r="T29" s="1069"/>
      <c r="U29" s="1070" t="s">
        <v>613</v>
      </c>
      <c r="V29" s="1070"/>
      <c r="W29" s="1070"/>
      <c r="X29" s="468">
        <v>93</v>
      </c>
      <c r="Y29" s="1071">
        <f>+G29-P29</f>
        <v>371431000</v>
      </c>
      <c r="Z29" s="1072"/>
      <c r="AA29" s="1072"/>
      <c r="AB29" s="1072"/>
      <c r="AC29" s="1072"/>
      <c r="AD29" s="1072"/>
      <c r="AE29" s="1073"/>
      <c r="AF29" s="1076" t="s">
        <v>614</v>
      </c>
      <c r="AG29" s="1076"/>
      <c r="AH29" s="1076"/>
      <c r="AI29" s="468">
        <v>94</v>
      </c>
      <c r="AJ29" s="1077">
        <v>0</v>
      </c>
      <c r="AK29" s="1078"/>
      <c r="AL29" s="1078"/>
      <c r="AM29" s="1078"/>
      <c r="AN29" s="1079"/>
      <c r="AQ29" s="1111"/>
      <c r="AR29" s="1024"/>
      <c r="AS29" s="897"/>
      <c r="AT29" s="897"/>
      <c r="AU29" s="897"/>
      <c r="AV29" s="897"/>
      <c r="AW29" s="897"/>
      <c r="AX29" s="897"/>
      <c r="AY29" s="897"/>
      <c r="AZ29" s="897"/>
      <c r="BA29" s="897"/>
      <c r="BB29" s="897"/>
      <c r="BC29" s="442"/>
      <c r="BD29" s="1062"/>
      <c r="BE29" s="1062"/>
      <c r="BF29" s="1062"/>
      <c r="BG29" s="1062"/>
      <c r="BH29" s="1062"/>
      <c r="BI29" s="1024"/>
      <c r="BJ29" s="897"/>
      <c r="BK29" s="897"/>
      <c r="BL29" s="897"/>
      <c r="BM29" s="897"/>
      <c r="BN29" s="897"/>
      <c r="BO29" s="897"/>
      <c r="BP29" s="897"/>
      <c r="BQ29" s="897"/>
      <c r="BR29" s="897"/>
      <c r="BS29" s="897"/>
      <c r="BT29" s="897"/>
      <c r="BU29" s="897"/>
      <c r="BV29" s="443"/>
      <c r="BW29" s="917"/>
      <c r="BX29" s="917"/>
      <c r="BY29" s="917"/>
      <c r="BZ29" s="917"/>
      <c r="CA29" s="917"/>
      <c r="CB29" s="917"/>
      <c r="CD29" s="408"/>
      <c r="CE29" s="448"/>
      <c r="CL29" s="93">
        <f>IF(G29&lt;0,1,0)</f>
        <v>0</v>
      </c>
      <c r="CM29" s="93">
        <f>IF(P29&lt;0,1,0)</f>
        <v>0</v>
      </c>
      <c r="CN29" s="93">
        <f>IF(Y29&lt;0,1,0)</f>
        <v>0</v>
      </c>
      <c r="CO29" s="93">
        <f>IF(AJ29&lt;0,1,0)</f>
        <v>0</v>
      </c>
    </row>
    <row r="30" spans="2:93" ht="17.45" customHeight="1" x14ac:dyDescent="0.2">
      <c r="B30" s="960"/>
      <c r="C30" s="1032" t="s">
        <v>615</v>
      </c>
      <c r="D30" s="1032"/>
      <c r="E30" s="1032"/>
      <c r="F30" s="421">
        <v>95</v>
      </c>
      <c r="G30" s="980">
        <v>0</v>
      </c>
      <c r="H30" s="981"/>
      <c r="I30" s="981"/>
      <c r="J30" s="981"/>
      <c r="K30" s="982"/>
      <c r="L30" s="1032" t="s">
        <v>149</v>
      </c>
      <c r="M30" s="1032"/>
      <c r="N30" s="1033"/>
      <c r="O30" s="469">
        <v>96</v>
      </c>
      <c r="P30" s="1034">
        <v>0</v>
      </c>
      <c r="Q30" s="1035"/>
      <c r="R30" s="1035"/>
      <c r="S30" s="1035"/>
      <c r="T30" s="1036"/>
      <c r="U30" s="1032" t="s">
        <v>616</v>
      </c>
      <c r="V30" s="1032"/>
      <c r="W30" s="1032"/>
      <c r="X30" s="470">
        <v>97</v>
      </c>
      <c r="Y30" s="980">
        <f>IF(Y29+P30-AJ29-G30&gt;0,Y29+P30-AJ29-G30,0)</f>
        <v>371431000</v>
      </c>
      <c r="Z30" s="981"/>
      <c r="AA30" s="981"/>
      <c r="AB30" s="981"/>
      <c r="AC30" s="981"/>
      <c r="AD30" s="981"/>
      <c r="AE30" s="982"/>
      <c r="AF30" s="1032" t="s">
        <v>16</v>
      </c>
      <c r="AG30" s="1032"/>
      <c r="AH30" s="1032"/>
      <c r="AI30" s="471">
        <v>98</v>
      </c>
      <c r="AJ30" s="987">
        <f>ROUND('19 RP'!C19,-3)</f>
        <v>0</v>
      </c>
      <c r="AK30" s="988"/>
      <c r="AL30" s="988"/>
      <c r="AM30" s="988"/>
      <c r="AN30" s="989"/>
      <c r="AQ30" s="1111"/>
      <c r="AR30" s="1024"/>
      <c r="AS30" s="897"/>
      <c r="AT30" s="897"/>
      <c r="AU30" s="897"/>
      <c r="AV30" s="897"/>
      <c r="AW30" s="897"/>
      <c r="AX30" s="897"/>
      <c r="AY30" s="897"/>
      <c r="AZ30" s="897"/>
      <c r="BA30" s="897"/>
      <c r="BB30" s="897"/>
      <c r="BC30" s="460"/>
      <c r="BD30" s="904"/>
      <c r="BE30" s="904"/>
      <c r="BF30" s="904"/>
      <c r="BG30" s="904"/>
      <c r="BH30" s="904"/>
      <c r="BI30" s="1024"/>
      <c r="BJ30" s="897"/>
      <c r="BK30" s="897"/>
      <c r="BL30" s="897"/>
      <c r="BM30" s="897"/>
      <c r="BN30" s="897"/>
      <c r="BO30" s="897"/>
      <c r="BP30" s="897"/>
      <c r="BQ30" s="897"/>
      <c r="BR30" s="897"/>
      <c r="BS30" s="897"/>
      <c r="BT30" s="897"/>
      <c r="BU30" s="897"/>
      <c r="BV30" s="443"/>
      <c r="BW30" s="917"/>
      <c r="BX30" s="917"/>
      <c r="BY30" s="917"/>
      <c r="BZ30" s="917"/>
      <c r="CA30" s="917"/>
      <c r="CB30" s="917"/>
      <c r="CD30" s="408"/>
      <c r="CE30" s="408"/>
      <c r="CL30" s="93">
        <f>IF(G30&lt;0,1,0)</f>
        <v>0</v>
      </c>
      <c r="CM30" s="93">
        <f>IF(P30&lt;0,1,0)</f>
        <v>0</v>
      </c>
      <c r="CN30" s="93">
        <f>IF(Y30&lt;0,1,0)</f>
        <v>0</v>
      </c>
      <c r="CO30" s="93">
        <f>IF(AJ30&lt;0,1,0)</f>
        <v>0</v>
      </c>
    </row>
    <row r="31" spans="2:93" ht="17.45" customHeight="1" x14ac:dyDescent="0.2">
      <c r="B31" s="958" t="s">
        <v>602</v>
      </c>
      <c r="C31" s="961" t="s">
        <v>603</v>
      </c>
      <c r="D31" s="962"/>
      <c r="E31" s="962"/>
      <c r="F31" s="962"/>
      <c r="G31" s="962"/>
      <c r="H31" s="962"/>
      <c r="I31" s="962"/>
      <c r="J31" s="962"/>
      <c r="K31" s="962"/>
      <c r="L31" s="963"/>
      <c r="M31" s="472">
        <v>99</v>
      </c>
      <c r="N31" s="1047">
        <v>0</v>
      </c>
      <c r="O31" s="1048"/>
      <c r="P31" s="1048"/>
      <c r="Q31" s="1048"/>
      <c r="R31" s="1048"/>
      <c r="S31" s="1048"/>
      <c r="T31" s="1049"/>
      <c r="U31" s="415" t="s">
        <v>547</v>
      </c>
      <c r="V31" s="416"/>
      <c r="W31" s="473"/>
      <c r="X31" s="473"/>
      <c r="Y31" s="473"/>
      <c r="Z31" s="473"/>
      <c r="AA31" s="473"/>
      <c r="AB31" s="473"/>
      <c r="AC31" s="473"/>
      <c r="AD31" s="473"/>
      <c r="AE31" s="474"/>
      <c r="AF31" s="396"/>
      <c r="AG31" s="423">
        <v>116</v>
      </c>
      <c r="AH31" s="1050">
        <f>IF(N43+N44-N45-N46-N47&lt;0,0,N43+N44-N45-N46-N47)</f>
        <v>0</v>
      </c>
      <c r="AI31" s="1051"/>
      <c r="AJ31" s="1051"/>
      <c r="AK31" s="1051"/>
      <c r="AL31" s="1051"/>
      <c r="AM31" s="1051"/>
      <c r="AN31" s="1052"/>
      <c r="AQ31" s="1111"/>
      <c r="AR31" s="1024"/>
      <c r="AS31" s="894"/>
      <c r="AT31" s="894"/>
      <c r="AU31" s="894"/>
      <c r="AV31" s="894"/>
      <c r="AW31" s="894"/>
      <c r="AX31" s="894"/>
      <c r="AY31" s="894"/>
      <c r="AZ31" s="894"/>
      <c r="BA31" s="894"/>
      <c r="BB31" s="894"/>
      <c r="BC31" s="454"/>
      <c r="BD31" s="895"/>
      <c r="BE31" s="895"/>
      <c r="BF31" s="895"/>
      <c r="BG31" s="895"/>
      <c r="BH31" s="895"/>
      <c r="BI31" s="1024"/>
      <c r="BJ31" s="894"/>
      <c r="BK31" s="894"/>
      <c r="BL31" s="894"/>
      <c r="BM31" s="894"/>
      <c r="BN31" s="894"/>
      <c r="BO31" s="894"/>
      <c r="BP31" s="894"/>
      <c r="BQ31" s="894"/>
      <c r="BR31" s="894"/>
      <c r="BS31" s="894"/>
      <c r="BT31" s="894"/>
      <c r="BU31" s="894"/>
      <c r="BV31" s="475"/>
      <c r="BW31" s="905"/>
      <c r="BX31" s="905"/>
      <c r="BY31" s="905"/>
      <c r="BZ31" s="905"/>
      <c r="CA31" s="905"/>
      <c r="CB31" s="905"/>
      <c r="CD31" s="448"/>
      <c r="CE31" s="408"/>
      <c r="CL31" s="93">
        <f>IF(N31&lt;0,1,0)</f>
        <v>0</v>
      </c>
      <c r="CM31" s="93">
        <f>IF(AH31&lt;0,1,0)</f>
        <v>0</v>
      </c>
    </row>
    <row r="32" spans="2:93" ht="17.45" customHeight="1" x14ac:dyDescent="0.2">
      <c r="B32" s="959"/>
      <c r="C32" s="942" t="s">
        <v>30</v>
      </c>
      <c r="D32" s="943"/>
      <c r="E32" s="943"/>
      <c r="F32" s="943"/>
      <c r="G32" s="943"/>
      <c r="H32" s="943"/>
      <c r="I32" s="943"/>
      <c r="J32" s="943"/>
      <c r="K32" s="943"/>
      <c r="L32" s="944"/>
      <c r="M32" s="476">
        <v>100</v>
      </c>
      <c r="N32" s="945">
        <v>0</v>
      </c>
      <c r="O32" s="946"/>
      <c r="P32" s="946"/>
      <c r="Q32" s="946"/>
      <c r="R32" s="946"/>
      <c r="S32" s="946"/>
      <c r="T32" s="947"/>
      <c r="U32" s="1037" t="s">
        <v>25</v>
      </c>
      <c r="V32" s="1041" t="s">
        <v>617</v>
      </c>
      <c r="W32" s="1044" t="s">
        <v>618</v>
      </c>
      <c r="X32" s="1045"/>
      <c r="Y32" s="1045"/>
      <c r="Z32" s="1045"/>
      <c r="AA32" s="1045"/>
      <c r="AB32" s="1045"/>
      <c r="AC32" s="1045"/>
      <c r="AD32" s="1045"/>
      <c r="AE32" s="1045"/>
      <c r="AF32" s="1046"/>
      <c r="AG32" s="477">
        <v>117</v>
      </c>
      <c r="AH32" s="974">
        <f>ROUND('22 Tarifas'!B55,-3)</f>
        <v>101935000</v>
      </c>
      <c r="AI32" s="975"/>
      <c r="AJ32" s="975"/>
      <c r="AK32" s="975"/>
      <c r="AL32" s="975"/>
      <c r="AM32" s="975"/>
      <c r="AN32" s="976"/>
      <c r="AQ32" s="1111"/>
      <c r="AR32" s="1024"/>
      <c r="AS32" s="894"/>
      <c r="AT32" s="894"/>
      <c r="AU32" s="894"/>
      <c r="AV32" s="894"/>
      <c r="AW32" s="894"/>
      <c r="AX32" s="894"/>
      <c r="AY32" s="894"/>
      <c r="AZ32" s="894"/>
      <c r="BA32" s="894"/>
      <c r="BB32" s="894"/>
      <c r="BC32" s="454"/>
      <c r="BD32" s="895"/>
      <c r="BE32" s="895"/>
      <c r="BF32" s="895"/>
      <c r="BG32" s="895"/>
      <c r="BH32" s="895"/>
      <c r="BI32" s="1023"/>
      <c r="BJ32" s="1024"/>
      <c r="BK32" s="1024"/>
      <c r="BL32" s="897"/>
      <c r="BM32" s="897"/>
      <c r="BN32" s="897"/>
      <c r="BO32" s="897"/>
      <c r="BP32" s="897"/>
      <c r="BQ32" s="897"/>
      <c r="BR32" s="897"/>
      <c r="BS32" s="897"/>
      <c r="BT32" s="897"/>
      <c r="BU32" s="897"/>
      <c r="BV32" s="478"/>
      <c r="BW32" s="917"/>
      <c r="BX32" s="917"/>
      <c r="BY32" s="917"/>
      <c r="BZ32" s="917"/>
      <c r="CA32" s="917"/>
      <c r="CB32" s="917"/>
      <c r="CD32" s="408"/>
      <c r="CE32" s="408"/>
      <c r="CL32" s="93">
        <f t="shared" ref="CL32:CL47" si="4">IF(N32&lt;0,1,0)</f>
        <v>0</v>
      </c>
      <c r="CM32" s="93">
        <f t="shared" ref="CM32:CM47" si="5">IF(AH32&lt;0,1,0)</f>
        <v>0</v>
      </c>
    </row>
    <row r="33" spans="2:93" ht="17.45" customHeight="1" x14ac:dyDescent="0.25">
      <c r="B33" s="959"/>
      <c r="C33" s="1025" t="s">
        <v>601</v>
      </c>
      <c r="D33" s="1026"/>
      <c r="E33" s="1026"/>
      <c r="F33" s="1026"/>
      <c r="G33" s="1026"/>
      <c r="H33" s="1026"/>
      <c r="I33" s="1026"/>
      <c r="J33" s="1026"/>
      <c r="K33" s="1026"/>
      <c r="L33" s="1027"/>
      <c r="M33" s="479">
        <v>101</v>
      </c>
      <c r="N33" s="1028">
        <f>+N31-N32</f>
        <v>0</v>
      </c>
      <c r="O33" s="965"/>
      <c r="P33" s="965"/>
      <c r="Q33" s="965"/>
      <c r="R33" s="965"/>
      <c r="S33" s="965"/>
      <c r="T33" s="966"/>
      <c r="U33" s="1038"/>
      <c r="V33" s="1042"/>
      <c r="W33" s="1029" t="s">
        <v>619</v>
      </c>
      <c r="X33" s="1030"/>
      <c r="Y33" s="1030"/>
      <c r="Z33" s="1030"/>
      <c r="AA33" s="1030"/>
      <c r="AB33" s="1030"/>
      <c r="AC33" s="1030"/>
      <c r="AD33" s="1030"/>
      <c r="AE33" s="1030"/>
      <c r="AF33" s="1031"/>
      <c r="AG33" s="480">
        <v>118</v>
      </c>
      <c r="AH33" s="955">
        <v>0</v>
      </c>
      <c r="AI33" s="956"/>
      <c r="AJ33" s="956"/>
      <c r="AK33" s="956"/>
      <c r="AL33" s="956"/>
      <c r="AM33" s="956"/>
      <c r="AN33" s="957"/>
      <c r="AQ33" s="1111"/>
      <c r="AR33" s="1024"/>
      <c r="AS33" s="894"/>
      <c r="AT33" s="894"/>
      <c r="AU33" s="894"/>
      <c r="AV33" s="894"/>
      <c r="AW33" s="894"/>
      <c r="AX33" s="894"/>
      <c r="AY33" s="894"/>
      <c r="AZ33" s="894"/>
      <c r="BA33" s="894"/>
      <c r="BB33" s="894"/>
      <c r="BC33" s="454"/>
      <c r="BD33" s="895"/>
      <c r="BE33" s="895"/>
      <c r="BF33" s="895"/>
      <c r="BG33" s="895"/>
      <c r="BH33" s="895"/>
      <c r="BI33" s="1023"/>
      <c r="BJ33" s="1024"/>
      <c r="BK33" s="1024"/>
      <c r="BL33" s="897"/>
      <c r="BM33" s="897"/>
      <c r="BN33" s="897"/>
      <c r="BO33" s="897"/>
      <c r="BP33" s="897"/>
      <c r="BQ33" s="897"/>
      <c r="BR33" s="897"/>
      <c r="BS33" s="897"/>
      <c r="BT33" s="897"/>
      <c r="BU33" s="897"/>
      <c r="BV33" s="478"/>
      <c r="BW33" s="917"/>
      <c r="BX33" s="917"/>
      <c r="BY33" s="917"/>
      <c r="BZ33" s="917"/>
      <c r="CA33" s="917"/>
      <c r="CB33" s="917"/>
      <c r="CD33" s="448"/>
      <c r="CE33" s="408"/>
      <c r="CL33" s="93">
        <f t="shared" si="4"/>
        <v>0</v>
      </c>
      <c r="CM33" s="93">
        <f t="shared" si="5"/>
        <v>0</v>
      </c>
    </row>
    <row r="34" spans="2:93" ht="17.45" customHeight="1" x14ac:dyDescent="0.2">
      <c r="B34" s="959"/>
      <c r="C34" s="942" t="s">
        <v>33</v>
      </c>
      <c r="D34" s="943"/>
      <c r="E34" s="943"/>
      <c r="F34" s="943"/>
      <c r="G34" s="943"/>
      <c r="H34" s="943"/>
      <c r="I34" s="943"/>
      <c r="J34" s="943"/>
      <c r="K34" s="943"/>
      <c r="L34" s="944"/>
      <c r="M34" s="476">
        <v>102</v>
      </c>
      <c r="N34" s="945">
        <v>0</v>
      </c>
      <c r="O34" s="946"/>
      <c r="P34" s="946"/>
      <c r="Q34" s="946"/>
      <c r="R34" s="946"/>
      <c r="S34" s="946"/>
      <c r="T34" s="947"/>
      <c r="U34" s="1038"/>
      <c r="V34" s="1042"/>
      <c r="W34" s="1020" t="s">
        <v>620</v>
      </c>
      <c r="X34" s="1021"/>
      <c r="Y34" s="1021"/>
      <c r="Z34" s="1021"/>
      <c r="AA34" s="1021"/>
      <c r="AB34" s="1021"/>
      <c r="AC34" s="1021"/>
      <c r="AD34" s="1021"/>
      <c r="AE34" s="1021"/>
      <c r="AF34" s="1022"/>
      <c r="AG34" s="477">
        <v>119</v>
      </c>
      <c r="AH34" s="945">
        <v>0</v>
      </c>
      <c r="AI34" s="946"/>
      <c r="AJ34" s="946"/>
      <c r="AK34" s="946"/>
      <c r="AL34" s="946"/>
      <c r="AM34" s="946"/>
      <c r="AN34" s="947"/>
      <c r="AQ34" s="1111"/>
      <c r="AR34" s="1024"/>
      <c r="AS34" s="897"/>
      <c r="AT34" s="897"/>
      <c r="AU34" s="897"/>
      <c r="AV34" s="897"/>
      <c r="AW34" s="897"/>
      <c r="AX34" s="897"/>
      <c r="AY34" s="897"/>
      <c r="AZ34" s="897"/>
      <c r="BA34" s="897"/>
      <c r="BB34" s="897"/>
      <c r="BC34" s="442"/>
      <c r="BD34" s="904"/>
      <c r="BE34" s="904"/>
      <c r="BF34" s="904"/>
      <c r="BG34" s="904"/>
      <c r="BH34" s="904"/>
      <c r="BI34" s="1023"/>
      <c r="BJ34" s="1024"/>
      <c r="BK34" s="1024"/>
      <c r="BL34" s="897"/>
      <c r="BM34" s="897"/>
      <c r="BN34" s="897"/>
      <c r="BO34" s="897"/>
      <c r="BP34" s="897"/>
      <c r="BQ34" s="897"/>
      <c r="BR34" s="897"/>
      <c r="BS34" s="897"/>
      <c r="BT34" s="897"/>
      <c r="BU34" s="897"/>
      <c r="BV34" s="478"/>
      <c r="BW34" s="917"/>
      <c r="BX34" s="917"/>
      <c r="BY34" s="917"/>
      <c r="BZ34" s="917"/>
      <c r="CA34" s="917"/>
      <c r="CB34" s="917"/>
      <c r="CD34" s="408"/>
      <c r="CE34" s="408"/>
      <c r="CL34" s="93">
        <f t="shared" si="4"/>
        <v>0</v>
      </c>
      <c r="CM34" s="93">
        <f t="shared" si="5"/>
        <v>0</v>
      </c>
    </row>
    <row r="35" spans="2:93" ht="17.45" customHeight="1" x14ac:dyDescent="0.25">
      <c r="B35" s="960"/>
      <c r="C35" s="1053" t="s">
        <v>621</v>
      </c>
      <c r="D35" s="1054"/>
      <c r="E35" s="1054"/>
      <c r="F35" s="1054"/>
      <c r="G35" s="1054"/>
      <c r="H35" s="1054"/>
      <c r="I35" s="1054"/>
      <c r="J35" s="1054"/>
      <c r="K35" s="1054"/>
      <c r="L35" s="1055"/>
      <c r="M35" s="481">
        <v>103</v>
      </c>
      <c r="N35" s="1006">
        <f>+N33-N34</f>
        <v>0</v>
      </c>
      <c r="O35" s="1007"/>
      <c r="P35" s="1007"/>
      <c r="Q35" s="1007"/>
      <c r="R35" s="1007"/>
      <c r="S35" s="1007"/>
      <c r="T35" s="1008"/>
      <c r="U35" s="1038"/>
      <c r="V35" s="1042"/>
      <c r="W35" s="695" t="s">
        <v>622</v>
      </c>
      <c r="X35" s="653"/>
      <c r="Y35" s="653"/>
      <c r="Z35" s="653"/>
      <c r="AA35" s="653"/>
      <c r="AB35" s="653"/>
      <c r="AC35" s="653"/>
      <c r="AD35" s="653"/>
      <c r="AE35" s="653"/>
      <c r="AF35" s="780"/>
      <c r="AG35" s="480">
        <v>120</v>
      </c>
      <c r="AH35" s="955">
        <f>ROUND('22 Tarifas'!B74,-3)</f>
        <v>11160000</v>
      </c>
      <c r="AI35" s="956"/>
      <c r="AJ35" s="956"/>
      <c r="AK35" s="956"/>
      <c r="AL35" s="956"/>
      <c r="AM35" s="956"/>
      <c r="AN35" s="957"/>
      <c r="AQ35" s="1111"/>
      <c r="AR35" s="1024"/>
      <c r="AS35" s="894"/>
      <c r="AT35" s="894"/>
      <c r="AU35" s="894"/>
      <c r="AV35" s="894"/>
      <c r="AW35" s="894"/>
      <c r="AX35" s="894"/>
      <c r="AY35" s="894"/>
      <c r="AZ35" s="894"/>
      <c r="BA35" s="894"/>
      <c r="BB35" s="894"/>
      <c r="BC35" s="454"/>
      <c r="BD35" s="895"/>
      <c r="BE35" s="895"/>
      <c r="BF35" s="895"/>
      <c r="BG35" s="895"/>
      <c r="BH35" s="895"/>
      <c r="BI35" s="1023"/>
      <c r="BJ35" s="1024"/>
      <c r="BK35" s="1024"/>
      <c r="BL35" s="897"/>
      <c r="BM35" s="897"/>
      <c r="BN35" s="897"/>
      <c r="BO35" s="897"/>
      <c r="BP35" s="897"/>
      <c r="BQ35" s="897"/>
      <c r="BR35" s="897"/>
      <c r="BS35" s="897"/>
      <c r="BT35" s="897"/>
      <c r="BU35" s="897"/>
      <c r="BV35" s="478"/>
      <c r="BW35" s="917"/>
      <c r="BX35" s="917"/>
      <c r="BY35" s="917"/>
      <c r="BZ35" s="917"/>
      <c r="CA35" s="917"/>
      <c r="CB35" s="917"/>
      <c r="CD35" s="408"/>
      <c r="CE35" s="448"/>
      <c r="CL35" s="93">
        <f t="shared" si="4"/>
        <v>0</v>
      </c>
      <c r="CM35" s="93">
        <f t="shared" si="5"/>
        <v>0</v>
      </c>
    </row>
    <row r="36" spans="2:93" ht="17.45" customHeight="1" x14ac:dyDescent="0.2">
      <c r="B36" s="756" t="s">
        <v>623</v>
      </c>
      <c r="C36" s="1001" t="s">
        <v>492</v>
      </c>
      <c r="D36" s="1002"/>
      <c r="E36" s="1002"/>
      <c r="F36" s="1002"/>
      <c r="G36" s="1002"/>
      <c r="H36" s="1002"/>
      <c r="I36" s="1002"/>
      <c r="J36" s="1002"/>
      <c r="K36" s="1002"/>
      <c r="L36" s="1003"/>
      <c r="M36" s="476">
        <v>104</v>
      </c>
      <c r="N36" s="945">
        <f>ROUND('20 Div'!B8,-3)</f>
        <v>112087000</v>
      </c>
      <c r="O36" s="946"/>
      <c r="P36" s="946"/>
      <c r="Q36" s="946"/>
      <c r="R36" s="946"/>
      <c r="S36" s="946"/>
      <c r="T36" s="947"/>
      <c r="U36" s="1038"/>
      <c r="V36" s="1042"/>
      <c r="W36" s="948" t="s">
        <v>624</v>
      </c>
      <c r="X36" s="949"/>
      <c r="Y36" s="949"/>
      <c r="Z36" s="949"/>
      <c r="AA36" s="949"/>
      <c r="AB36" s="949"/>
      <c r="AC36" s="949"/>
      <c r="AD36" s="949"/>
      <c r="AE36" s="949"/>
      <c r="AF36" s="950"/>
      <c r="AG36" s="477">
        <v>121</v>
      </c>
      <c r="AH36" s="945">
        <f>ROUND('22 Tarifas'!B88,-3)</f>
        <v>24247000</v>
      </c>
      <c r="AI36" s="946"/>
      <c r="AJ36" s="946"/>
      <c r="AK36" s="946"/>
      <c r="AL36" s="946"/>
      <c r="AM36" s="946"/>
      <c r="AN36" s="947"/>
      <c r="AQ36" s="1111"/>
      <c r="AR36" s="1004"/>
      <c r="AS36" s="897"/>
      <c r="AT36" s="897"/>
      <c r="AU36" s="897"/>
      <c r="AV36" s="897"/>
      <c r="AW36" s="897"/>
      <c r="AX36" s="897"/>
      <c r="AY36" s="897"/>
      <c r="AZ36" s="897"/>
      <c r="BA36" s="897"/>
      <c r="BB36" s="897"/>
      <c r="BC36" s="442"/>
      <c r="BD36" s="904"/>
      <c r="BE36" s="904"/>
      <c r="BF36" s="904"/>
      <c r="BG36" s="904"/>
      <c r="BH36" s="904"/>
      <c r="BI36" s="1023"/>
      <c r="BJ36" s="1024"/>
      <c r="BK36" s="1024"/>
      <c r="BL36" s="896"/>
      <c r="BM36" s="896"/>
      <c r="BN36" s="896"/>
      <c r="BO36" s="896"/>
      <c r="BP36" s="896"/>
      <c r="BQ36" s="896"/>
      <c r="BR36" s="896"/>
      <c r="BS36" s="896"/>
      <c r="BT36" s="896"/>
      <c r="BU36" s="896"/>
      <c r="BV36" s="478"/>
      <c r="BW36" s="917"/>
      <c r="BX36" s="917"/>
      <c r="BY36" s="917"/>
      <c r="BZ36" s="917"/>
      <c r="CA36" s="917"/>
      <c r="CB36" s="917"/>
      <c r="CD36" s="408"/>
      <c r="CE36" s="408"/>
      <c r="CL36" s="93">
        <f t="shared" si="4"/>
        <v>0</v>
      </c>
      <c r="CM36" s="93">
        <f t="shared" si="5"/>
        <v>0</v>
      </c>
    </row>
    <row r="37" spans="2:93" ht="17.45" customHeight="1" x14ac:dyDescent="0.25">
      <c r="B37" s="757"/>
      <c r="C37" s="952" t="s">
        <v>30</v>
      </c>
      <c r="D37" s="953"/>
      <c r="E37" s="953"/>
      <c r="F37" s="953"/>
      <c r="G37" s="953"/>
      <c r="H37" s="953"/>
      <c r="I37" s="953"/>
      <c r="J37" s="953"/>
      <c r="K37" s="953"/>
      <c r="L37" s="954"/>
      <c r="M37" s="482">
        <v>105</v>
      </c>
      <c r="N37" s="955">
        <f>ROUND('20 Div'!B10,-3)</f>
        <v>112087000</v>
      </c>
      <c r="O37" s="956"/>
      <c r="P37" s="956"/>
      <c r="Q37" s="956"/>
      <c r="R37" s="956"/>
      <c r="S37" s="956"/>
      <c r="T37" s="957"/>
      <c r="U37" s="1038"/>
      <c r="V37" s="1043"/>
      <c r="W37" s="1005" t="s">
        <v>567</v>
      </c>
      <c r="X37" s="671"/>
      <c r="Y37" s="671"/>
      <c r="Z37" s="671"/>
      <c r="AA37" s="671"/>
      <c r="AB37" s="671"/>
      <c r="AC37" s="671"/>
      <c r="AD37" s="671"/>
      <c r="AE37" s="671"/>
      <c r="AF37" s="762"/>
      <c r="AG37" s="483">
        <v>122</v>
      </c>
      <c r="AH37" s="1006">
        <f>+AH32+AH33+AH34+AH35+AH36</f>
        <v>137342000</v>
      </c>
      <c r="AI37" s="1007"/>
      <c r="AJ37" s="1007"/>
      <c r="AK37" s="1007"/>
      <c r="AL37" s="1007"/>
      <c r="AM37" s="1007"/>
      <c r="AN37" s="1008"/>
      <c r="AQ37" s="1111"/>
      <c r="AR37" s="1004"/>
      <c r="AS37" s="897"/>
      <c r="AT37" s="897"/>
      <c r="AU37" s="897"/>
      <c r="AV37" s="897"/>
      <c r="AW37" s="897"/>
      <c r="AX37" s="897"/>
      <c r="AY37" s="897"/>
      <c r="AZ37" s="897"/>
      <c r="BA37" s="897"/>
      <c r="BB37" s="897"/>
      <c r="BC37" s="442"/>
      <c r="BD37" s="904"/>
      <c r="BE37" s="904"/>
      <c r="BF37" s="904"/>
      <c r="BG37" s="904"/>
      <c r="BH37" s="904"/>
      <c r="BI37" s="1023"/>
      <c r="BJ37" s="1024"/>
      <c r="BK37" s="1024"/>
      <c r="BL37" s="894"/>
      <c r="BM37" s="894"/>
      <c r="BN37" s="894"/>
      <c r="BO37" s="894"/>
      <c r="BP37" s="894"/>
      <c r="BQ37" s="894"/>
      <c r="BR37" s="894"/>
      <c r="BS37" s="894"/>
      <c r="BT37" s="894"/>
      <c r="BU37" s="894"/>
      <c r="BV37" s="462"/>
      <c r="BW37" s="905"/>
      <c r="BX37" s="905"/>
      <c r="BY37" s="905"/>
      <c r="BZ37" s="905"/>
      <c r="CA37" s="905"/>
      <c r="CB37" s="905"/>
      <c r="CD37" s="408"/>
      <c r="CE37" s="408"/>
      <c r="CL37" s="93">
        <f t="shared" si="4"/>
        <v>0</v>
      </c>
      <c r="CM37" s="93">
        <f t="shared" si="5"/>
        <v>0</v>
      </c>
    </row>
    <row r="38" spans="2:93" ht="17.45" customHeight="1" x14ac:dyDescent="0.25">
      <c r="B38" s="757"/>
      <c r="C38" s="1009" t="s">
        <v>536</v>
      </c>
      <c r="D38" s="1010"/>
      <c r="E38" s="1010"/>
      <c r="F38" s="1010"/>
      <c r="G38" s="1010"/>
      <c r="H38" s="1010"/>
      <c r="I38" s="1010"/>
      <c r="J38" s="1010"/>
      <c r="K38" s="1010"/>
      <c r="L38" s="1011"/>
      <c r="M38" s="484">
        <v>106</v>
      </c>
      <c r="N38" s="1012">
        <f>+N36-N37</f>
        <v>0</v>
      </c>
      <c r="O38" s="1013"/>
      <c r="P38" s="1013"/>
      <c r="Q38" s="1013"/>
      <c r="R38" s="1013"/>
      <c r="S38" s="1013"/>
      <c r="T38" s="1014"/>
      <c r="U38" s="1038"/>
      <c r="V38" s="1015" t="s">
        <v>23</v>
      </c>
      <c r="W38" s="1017" t="s">
        <v>625</v>
      </c>
      <c r="X38" s="1018"/>
      <c r="Y38" s="1019"/>
      <c r="Z38" s="485">
        <v>123</v>
      </c>
      <c r="AA38" s="974">
        <v>0</v>
      </c>
      <c r="AB38" s="975"/>
      <c r="AC38" s="975"/>
      <c r="AD38" s="975"/>
      <c r="AE38" s="975"/>
      <c r="AF38" s="976"/>
      <c r="AG38" s="977" t="s">
        <v>42</v>
      </c>
      <c r="AH38" s="978"/>
      <c r="AI38" s="979"/>
      <c r="AJ38" s="486">
        <v>124</v>
      </c>
      <c r="AK38" s="980">
        <f>ROUND('23 DT'!D8,-3)</f>
        <v>21250000</v>
      </c>
      <c r="AL38" s="981"/>
      <c r="AM38" s="981"/>
      <c r="AN38" s="982"/>
      <c r="AQ38" s="1111"/>
      <c r="AR38" s="1004"/>
      <c r="AS38" s="897"/>
      <c r="AT38" s="897"/>
      <c r="AU38" s="897"/>
      <c r="AV38" s="897"/>
      <c r="AW38" s="897"/>
      <c r="AX38" s="897"/>
      <c r="AY38" s="897"/>
      <c r="AZ38" s="897"/>
      <c r="BA38" s="897"/>
      <c r="BB38" s="897"/>
      <c r="BC38" s="442"/>
      <c r="BD38" s="904"/>
      <c r="BE38" s="904"/>
      <c r="BF38" s="904"/>
      <c r="BG38" s="904"/>
      <c r="BH38" s="904"/>
      <c r="BI38" s="1023"/>
      <c r="BJ38" s="983"/>
      <c r="BK38" s="897"/>
      <c r="BL38" s="897"/>
      <c r="BM38" s="897"/>
      <c r="BN38" s="897"/>
      <c r="BO38" s="897"/>
      <c r="BP38" s="897"/>
      <c r="BQ38" s="897"/>
      <c r="BR38" s="897"/>
      <c r="BS38" s="897"/>
      <c r="BT38" s="897"/>
      <c r="BU38" s="897"/>
      <c r="BV38" s="443"/>
      <c r="BW38" s="917"/>
      <c r="BX38" s="917"/>
      <c r="BY38" s="917"/>
      <c r="BZ38" s="917"/>
      <c r="CA38" s="917"/>
      <c r="CB38" s="917"/>
      <c r="CD38" s="408"/>
      <c r="CE38" s="408"/>
      <c r="CL38" s="93">
        <f>IF(AA38&lt;0,1,0)</f>
        <v>0</v>
      </c>
      <c r="CM38" s="93">
        <f>IF(AK38&lt;0,1,0)</f>
        <v>0</v>
      </c>
    </row>
    <row r="39" spans="2:93" ht="17.45" customHeight="1" x14ac:dyDescent="0.25">
      <c r="B39" s="757"/>
      <c r="C39" s="952" t="s">
        <v>626</v>
      </c>
      <c r="D39" s="953"/>
      <c r="E39" s="953"/>
      <c r="F39" s="953"/>
      <c r="G39" s="953"/>
      <c r="H39" s="953"/>
      <c r="I39" s="953"/>
      <c r="J39" s="953"/>
      <c r="K39" s="953"/>
      <c r="L39" s="954"/>
      <c r="M39" s="482">
        <v>107</v>
      </c>
      <c r="N39" s="955">
        <f>ROUND('20 Div'!B17,-3)</f>
        <v>123000000</v>
      </c>
      <c r="O39" s="956"/>
      <c r="P39" s="956"/>
      <c r="Q39" s="956"/>
      <c r="R39" s="956"/>
      <c r="S39" s="956"/>
      <c r="T39" s="957"/>
      <c r="U39" s="1038"/>
      <c r="V39" s="1016"/>
      <c r="W39" s="984" t="s">
        <v>24</v>
      </c>
      <c r="X39" s="985"/>
      <c r="Y39" s="986"/>
      <c r="Z39" s="487">
        <v>125</v>
      </c>
      <c r="AA39" s="987">
        <f>ROUND('23 DT'!D6,-3)</f>
        <v>3590000</v>
      </c>
      <c r="AB39" s="988"/>
      <c r="AC39" s="988"/>
      <c r="AD39" s="988"/>
      <c r="AE39" s="988"/>
      <c r="AF39" s="989"/>
      <c r="AG39" s="990" t="s">
        <v>627</v>
      </c>
      <c r="AH39" s="991"/>
      <c r="AI39" s="992"/>
      <c r="AJ39" s="488">
        <v>126</v>
      </c>
      <c r="AK39" s="993">
        <f>+AA38+AA39+AK38</f>
        <v>24840000</v>
      </c>
      <c r="AL39" s="994"/>
      <c r="AM39" s="994"/>
      <c r="AN39" s="995"/>
      <c r="AQ39" s="1111"/>
      <c r="AR39" s="1004"/>
      <c r="AS39" s="897"/>
      <c r="AT39" s="897"/>
      <c r="AU39" s="897"/>
      <c r="AV39" s="897"/>
      <c r="AW39" s="897"/>
      <c r="AX39" s="897"/>
      <c r="AY39" s="897"/>
      <c r="AZ39" s="897"/>
      <c r="BA39" s="897"/>
      <c r="BB39" s="897"/>
      <c r="BC39" s="442"/>
      <c r="BD39" s="904"/>
      <c r="BE39" s="904"/>
      <c r="BF39" s="904"/>
      <c r="BG39" s="904"/>
      <c r="BH39" s="904"/>
      <c r="BI39" s="1023"/>
      <c r="BJ39" s="983"/>
      <c r="BK39" s="897"/>
      <c r="BL39" s="897"/>
      <c r="BM39" s="897"/>
      <c r="BN39" s="897"/>
      <c r="BO39" s="897"/>
      <c r="BP39" s="897"/>
      <c r="BQ39" s="897"/>
      <c r="BR39" s="897"/>
      <c r="BS39" s="897"/>
      <c r="BT39" s="897"/>
      <c r="BU39" s="897"/>
      <c r="BV39" s="443"/>
      <c r="BW39" s="917"/>
      <c r="BX39" s="917"/>
      <c r="BY39" s="917"/>
      <c r="BZ39" s="917"/>
      <c r="CA39" s="917"/>
      <c r="CB39" s="917"/>
      <c r="CD39" s="408"/>
      <c r="CE39" s="408"/>
      <c r="CL39" s="93">
        <f>IF(AA39&lt;0,1,0)</f>
        <v>0</v>
      </c>
      <c r="CM39" s="93">
        <f>IF(AK39&lt;0,1,0)</f>
        <v>0</v>
      </c>
    </row>
    <row r="40" spans="2:93" ht="17.45" customHeight="1" x14ac:dyDescent="0.25">
      <c r="B40" s="757"/>
      <c r="C40" s="942" t="s">
        <v>628</v>
      </c>
      <c r="D40" s="943"/>
      <c r="E40" s="943"/>
      <c r="F40" s="943"/>
      <c r="G40" s="943"/>
      <c r="H40" s="943"/>
      <c r="I40" s="943"/>
      <c r="J40" s="943"/>
      <c r="K40" s="943"/>
      <c r="L40" s="944"/>
      <c r="M40" s="476">
        <v>108</v>
      </c>
      <c r="N40" s="945">
        <f>ROUND('20 Div'!B22,-3)</f>
        <v>65432000</v>
      </c>
      <c r="O40" s="946"/>
      <c r="P40" s="946"/>
      <c r="Q40" s="946"/>
      <c r="R40" s="946"/>
      <c r="S40" s="946"/>
      <c r="T40" s="947"/>
      <c r="U40" s="1039"/>
      <c r="V40" s="996" t="s">
        <v>497</v>
      </c>
      <c r="W40" s="997"/>
      <c r="X40" s="997"/>
      <c r="Y40" s="997"/>
      <c r="Z40" s="997"/>
      <c r="AA40" s="997"/>
      <c r="AB40" s="997"/>
      <c r="AC40" s="997"/>
      <c r="AD40" s="997"/>
      <c r="AE40" s="997"/>
      <c r="AF40" s="998"/>
      <c r="AG40" s="489">
        <v>127</v>
      </c>
      <c r="AH40" s="999">
        <f>IF(AH37-AK39&lt;0,0,AH37-AK39)</f>
        <v>112502000</v>
      </c>
      <c r="AI40" s="999"/>
      <c r="AJ40" s="999"/>
      <c r="AK40" s="999"/>
      <c r="AL40" s="999"/>
      <c r="AM40" s="999"/>
      <c r="AN40" s="1000"/>
      <c r="AQ40" s="1111"/>
      <c r="AR40" s="1004"/>
      <c r="AS40" s="894"/>
      <c r="AT40" s="894"/>
      <c r="AU40" s="894"/>
      <c r="AV40" s="894"/>
      <c r="AW40" s="894"/>
      <c r="AX40" s="894"/>
      <c r="AY40" s="894"/>
      <c r="AZ40" s="894"/>
      <c r="BA40" s="894"/>
      <c r="BB40" s="894"/>
      <c r="BC40" s="454"/>
      <c r="BD40" s="895"/>
      <c r="BE40" s="895"/>
      <c r="BF40" s="895"/>
      <c r="BG40" s="895"/>
      <c r="BH40" s="895"/>
      <c r="BI40" s="1023"/>
      <c r="BJ40" s="983"/>
      <c r="BK40" s="897"/>
      <c r="BL40" s="897"/>
      <c r="BM40" s="897"/>
      <c r="BN40" s="897"/>
      <c r="BO40" s="897"/>
      <c r="BP40" s="897"/>
      <c r="BQ40" s="897"/>
      <c r="BR40" s="897"/>
      <c r="BS40" s="897"/>
      <c r="BT40" s="897"/>
      <c r="BU40" s="897"/>
      <c r="BV40" s="443"/>
      <c r="BW40" s="951"/>
      <c r="BX40" s="951"/>
      <c r="BY40" s="951"/>
      <c r="BZ40" s="951"/>
      <c r="CA40" s="951"/>
      <c r="CB40" s="951"/>
      <c r="CD40" s="408"/>
      <c r="CE40" s="408"/>
      <c r="CL40" s="93">
        <f t="shared" si="4"/>
        <v>0</v>
      </c>
      <c r="CM40" s="93">
        <f t="shared" si="5"/>
        <v>0</v>
      </c>
    </row>
    <row r="41" spans="2:93" ht="17.45" customHeight="1" x14ac:dyDescent="0.2">
      <c r="B41" s="757"/>
      <c r="C41" s="952" t="s">
        <v>629</v>
      </c>
      <c r="D41" s="953"/>
      <c r="E41" s="953"/>
      <c r="F41" s="953"/>
      <c r="G41" s="953"/>
      <c r="H41" s="953"/>
      <c r="I41" s="953"/>
      <c r="J41" s="953"/>
      <c r="K41" s="953"/>
      <c r="L41" s="954"/>
      <c r="M41" s="482">
        <v>109</v>
      </c>
      <c r="N41" s="955">
        <v>0</v>
      </c>
      <c r="O41" s="956"/>
      <c r="P41" s="956"/>
      <c r="Q41" s="956"/>
      <c r="R41" s="956"/>
      <c r="S41" s="956"/>
      <c r="T41" s="957"/>
      <c r="U41" s="1039"/>
      <c r="V41" s="695" t="s">
        <v>28</v>
      </c>
      <c r="W41" s="653"/>
      <c r="X41" s="653"/>
      <c r="Y41" s="653"/>
      <c r="Z41" s="653"/>
      <c r="AA41" s="653"/>
      <c r="AB41" s="653"/>
      <c r="AC41" s="653"/>
      <c r="AD41" s="653"/>
      <c r="AE41" s="653"/>
      <c r="AF41" s="780"/>
      <c r="AG41" s="490">
        <v>128</v>
      </c>
      <c r="AH41" s="956">
        <f>ROUND('21 GO'!E15,-3)</f>
        <v>0</v>
      </c>
      <c r="AI41" s="956"/>
      <c r="AJ41" s="956"/>
      <c r="AK41" s="956"/>
      <c r="AL41" s="956"/>
      <c r="AM41" s="956"/>
      <c r="AN41" s="957"/>
      <c r="AQ41" s="1111"/>
      <c r="AR41" s="1004"/>
      <c r="AS41" s="897"/>
      <c r="AT41" s="897"/>
      <c r="AU41" s="897"/>
      <c r="AV41" s="897"/>
      <c r="AW41" s="897"/>
      <c r="AX41" s="897"/>
      <c r="AY41" s="897"/>
      <c r="AZ41" s="897"/>
      <c r="BA41" s="897"/>
      <c r="BB41" s="897"/>
      <c r="BC41" s="442"/>
      <c r="BD41" s="904"/>
      <c r="BE41" s="904"/>
      <c r="BF41" s="904"/>
      <c r="BG41" s="904"/>
      <c r="BH41" s="904"/>
      <c r="BI41" s="1023"/>
      <c r="BJ41" s="983"/>
      <c r="BK41" s="973"/>
      <c r="BL41" s="973"/>
      <c r="BM41" s="973"/>
      <c r="BN41" s="973"/>
      <c r="BO41" s="973"/>
      <c r="BP41" s="973"/>
      <c r="BQ41" s="973"/>
      <c r="BR41" s="973"/>
      <c r="BS41" s="973"/>
      <c r="BT41" s="973"/>
      <c r="BU41" s="973"/>
      <c r="BV41" s="462"/>
      <c r="BW41" s="913"/>
      <c r="BX41" s="913"/>
      <c r="BY41" s="913"/>
      <c r="BZ41" s="913"/>
      <c r="CA41" s="913"/>
      <c r="CB41" s="913"/>
      <c r="CD41" s="408"/>
      <c r="CE41" s="408"/>
      <c r="CL41" s="93">
        <f t="shared" si="4"/>
        <v>0</v>
      </c>
      <c r="CM41" s="93">
        <f t="shared" si="5"/>
        <v>0</v>
      </c>
    </row>
    <row r="42" spans="2:93" ht="17.45" customHeight="1" x14ac:dyDescent="0.2">
      <c r="B42" s="758"/>
      <c r="C42" s="967" t="s">
        <v>493</v>
      </c>
      <c r="D42" s="968"/>
      <c r="E42" s="968"/>
      <c r="F42" s="968"/>
      <c r="G42" s="968"/>
      <c r="H42" s="968"/>
      <c r="I42" s="968"/>
      <c r="J42" s="968"/>
      <c r="K42" s="968"/>
      <c r="L42" s="969"/>
      <c r="M42" s="491">
        <v>110</v>
      </c>
      <c r="N42" s="970">
        <v>0</v>
      </c>
      <c r="O42" s="971"/>
      <c r="P42" s="971"/>
      <c r="Q42" s="971"/>
      <c r="R42" s="971"/>
      <c r="S42" s="971"/>
      <c r="T42" s="972"/>
      <c r="U42" s="1039"/>
      <c r="V42" s="948" t="s">
        <v>647</v>
      </c>
      <c r="W42" s="949"/>
      <c r="X42" s="949"/>
      <c r="Y42" s="949"/>
      <c r="Z42" s="949"/>
      <c r="AA42" s="949"/>
      <c r="AB42" s="949"/>
      <c r="AC42" s="949"/>
      <c r="AD42" s="949"/>
      <c r="AE42" s="949"/>
      <c r="AF42" s="950"/>
      <c r="AG42" s="492">
        <v>129</v>
      </c>
      <c r="AH42" s="946">
        <v>0</v>
      </c>
      <c r="AI42" s="946"/>
      <c r="AJ42" s="946"/>
      <c r="AK42" s="946"/>
      <c r="AL42" s="946"/>
      <c r="AM42" s="946"/>
      <c r="AN42" s="947"/>
      <c r="AQ42" s="1111"/>
      <c r="AR42" s="1004"/>
      <c r="AS42" s="897"/>
      <c r="AT42" s="897"/>
      <c r="AU42" s="897"/>
      <c r="AV42" s="897"/>
      <c r="AW42" s="897"/>
      <c r="AX42" s="897"/>
      <c r="AY42" s="897"/>
      <c r="AZ42" s="897"/>
      <c r="BA42" s="897"/>
      <c r="BB42" s="897"/>
      <c r="BC42" s="460"/>
      <c r="BD42" s="904"/>
      <c r="BE42" s="904"/>
      <c r="BF42" s="904"/>
      <c r="BG42" s="904"/>
      <c r="BH42" s="904"/>
      <c r="BI42" s="1023"/>
      <c r="BJ42" s="894"/>
      <c r="BK42" s="894"/>
      <c r="BL42" s="894"/>
      <c r="BM42" s="894"/>
      <c r="BN42" s="894"/>
      <c r="BO42" s="894"/>
      <c r="BP42" s="894"/>
      <c r="BQ42" s="894"/>
      <c r="BR42" s="894"/>
      <c r="BS42" s="894"/>
      <c r="BT42" s="894"/>
      <c r="BU42" s="894"/>
      <c r="BV42" s="462"/>
      <c r="BW42" s="905"/>
      <c r="BX42" s="905"/>
      <c r="BY42" s="905"/>
      <c r="BZ42" s="905"/>
      <c r="CA42" s="905"/>
      <c r="CB42" s="905"/>
      <c r="CD42" s="408"/>
      <c r="CE42" s="408"/>
      <c r="CL42" s="93">
        <f t="shared" si="4"/>
        <v>0</v>
      </c>
      <c r="CM42" s="93">
        <f t="shared" si="5"/>
        <v>0</v>
      </c>
    </row>
    <row r="43" spans="2:93" ht="17.45" customHeight="1" x14ac:dyDescent="0.25">
      <c r="B43" s="958" t="s">
        <v>630</v>
      </c>
      <c r="C43" s="961" t="s">
        <v>631</v>
      </c>
      <c r="D43" s="962"/>
      <c r="E43" s="962"/>
      <c r="F43" s="962"/>
      <c r="G43" s="962"/>
      <c r="H43" s="962"/>
      <c r="I43" s="962"/>
      <c r="J43" s="962"/>
      <c r="K43" s="962"/>
      <c r="L43" s="963"/>
      <c r="M43" s="482">
        <v>111</v>
      </c>
      <c r="N43" s="955">
        <f>ROUND('21 GO'!B7,-3)</f>
        <v>6931000</v>
      </c>
      <c r="O43" s="956"/>
      <c r="P43" s="956"/>
      <c r="Q43" s="956"/>
      <c r="R43" s="956"/>
      <c r="S43" s="956"/>
      <c r="T43" s="957"/>
      <c r="U43" s="1039"/>
      <c r="V43" s="657" t="s">
        <v>632</v>
      </c>
      <c r="W43" s="658"/>
      <c r="X43" s="658"/>
      <c r="Y43" s="658"/>
      <c r="Z43" s="658"/>
      <c r="AA43" s="658"/>
      <c r="AB43" s="658"/>
      <c r="AC43" s="658"/>
      <c r="AD43" s="658"/>
      <c r="AE43" s="658"/>
      <c r="AF43" s="964"/>
      <c r="AG43" s="493">
        <v>130</v>
      </c>
      <c r="AH43" s="965">
        <f>IF(AH40+AH41-AH42&lt;0,0,AH40+AH41-AH42)</f>
        <v>112502000</v>
      </c>
      <c r="AI43" s="965"/>
      <c r="AJ43" s="965"/>
      <c r="AK43" s="965"/>
      <c r="AL43" s="965"/>
      <c r="AM43" s="965"/>
      <c r="AN43" s="966"/>
      <c r="AQ43" s="1111"/>
      <c r="AR43" s="1004"/>
      <c r="AS43" s="894"/>
      <c r="AT43" s="894"/>
      <c r="AU43" s="894"/>
      <c r="AV43" s="894"/>
      <c r="AW43" s="894"/>
      <c r="AX43" s="894"/>
      <c r="AY43" s="894"/>
      <c r="AZ43" s="894"/>
      <c r="BA43" s="894"/>
      <c r="BB43" s="894"/>
      <c r="BC43" s="454"/>
      <c r="BD43" s="895"/>
      <c r="BE43" s="895"/>
      <c r="BF43" s="895"/>
      <c r="BG43" s="895"/>
      <c r="BH43" s="895"/>
      <c r="BI43" s="1023"/>
      <c r="BJ43" s="897"/>
      <c r="BK43" s="897"/>
      <c r="BL43" s="897"/>
      <c r="BM43" s="897"/>
      <c r="BN43" s="897"/>
      <c r="BO43" s="897"/>
      <c r="BP43" s="897"/>
      <c r="BQ43" s="897"/>
      <c r="BR43" s="897"/>
      <c r="BS43" s="897"/>
      <c r="BT43" s="897"/>
      <c r="BU43" s="897"/>
      <c r="BV43" s="478"/>
      <c r="BW43" s="917"/>
      <c r="BX43" s="917"/>
      <c r="BY43" s="917"/>
      <c r="BZ43" s="917"/>
      <c r="CA43" s="917"/>
      <c r="CB43" s="917"/>
      <c r="CD43" s="448"/>
      <c r="CE43" s="408"/>
      <c r="CL43" s="93">
        <f t="shared" si="4"/>
        <v>0</v>
      </c>
      <c r="CM43" s="93">
        <f t="shared" si="5"/>
        <v>0</v>
      </c>
    </row>
    <row r="44" spans="2:93" ht="17.45" customHeight="1" x14ac:dyDescent="0.2">
      <c r="B44" s="959"/>
      <c r="C44" s="942" t="s">
        <v>633</v>
      </c>
      <c r="D44" s="943"/>
      <c r="E44" s="943"/>
      <c r="F44" s="943"/>
      <c r="G44" s="943"/>
      <c r="H44" s="943"/>
      <c r="I44" s="943"/>
      <c r="J44" s="943"/>
      <c r="K44" s="943"/>
      <c r="L44" s="944"/>
      <c r="M44" s="476">
        <v>112</v>
      </c>
      <c r="N44" s="945">
        <v>0</v>
      </c>
      <c r="O44" s="946"/>
      <c r="P44" s="946"/>
      <c r="Q44" s="946"/>
      <c r="R44" s="946"/>
      <c r="S44" s="946"/>
      <c r="T44" s="947"/>
      <c r="U44" s="1039"/>
      <c r="V44" s="948" t="s">
        <v>44</v>
      </c>
      <c r="W44" s="949"/>
      <c r="X44" s="949"/>
      <c r="Y44" s="949"/>
      <c r="Z44" s="949"/>
      <c r="AA44" s="949"/>
      <c r="AB44" s="949"/>
      <c r="AC44" s="949"/>
      <c r="AD44" s="949"/>
      <c r="AE44" s="949"/>
      <c r="AF44" s="950"/>
      <c r="AG44" s="492">
        <v>131</v>
      </c>
      <c r="AH44" s="946">
        <v>0</v>
      </c>
      <c r="AI44" s="946"/>
      <c r="AJ44" s="946"/>
      <c r="AK44" s="946"/>
      <c r="AL44" s="946"/>
      <c r="AM44" s="946"/>
      <c r="AN44" s="947"/>
      <c r="AQ44" s="1111"/>
      <c r="AR44" s="1004"/>
      <c r="AS44" s="894"/>
      <c r="AT44" s="894"/>
      <c r="AU44" s="894"/>
      <c r="AV44" s="894"/>
      <c r="AW44" s="894"/>
      <c r="AX44" s="894"/>
      <c r="AY44" s="894"/>
      <c r="AZ44" s="894"/>
      <c r="BA44" s="894"/>
      <c r="BB44" s="894"/>
      <c r="BC44" s="454"/>
      <c r="BD44" s="895"/>
      <c r="BE44" s="895"/>
      <c r="BF44" s="895"/>
      <c r="BG44" s="895"/>
      <c r="BH44" s="895"/>
      <c r="BI44" s="1023"/>
      <c r="BJ44" s="897"/>
      <c r="BK44" s="897"/>
      <c r="BL44" s="897"/>
      <c r="BM44" s="897"/>
      <c r="BN44" s="897"/>
      <c r="BO44" s="897"/>
      <c r="BP44" s="897"/>
      <c r="BQ44" s="897"/>
      <c r="BR44" s="897"/>
      <c r="BS44" s="897"/>
      <c r="BT44" s="897"/>
      <c r="BU44" s="897"/>
      <c r="BV44" s="478"/>
      <c r="BW44" s="917"/>
      <c r="BX44" s="917"/>
      <c r="BY44" s="917"/>
      <c r="BZ44" s="917"/>
      <c r="CA44" s="917"/>
      <c r="CB44" s="917"/>
      <c r="CD44" s="408"/>
      <c r="CE44" s="408"/>
      <c r="CL44" s="93">
        <f t="shared" si="4"/>
        <v>0</v>
      </c>
      <c r="CM44" s="93">
        <f t="shared" si="5"/>
        <v>0</v>
      </c>
    </row>
    <row r="45" spans="2:93" ht="17.45" customHeight="1" x14ac:dyDescent="0.2">
      <c r="B45" s="959"/>
      <c r="C45" s="952" t="s">
        <v>634</v>
      </c>
      <c r="D45" s="953"/>
      <c r="E45" s="953"/>
      <c r="F45" s="953"/>
      <c r="G45" s="953"/>
      <c r="H45" s="953"/>
      <c r="I45" s="953"/>
      <c r="J45" s="953"/>
      <c r="K45" s="953"/>
      <c r="L45" s="954"/>
      <c r="M45" s="482">
        <v>113</v>
      </c>
      <c r="N45" s="955">
        <v>0</v>
      </c>
      <c r="O45" s="956"/>
      <c r="P45" s="956"/>
      <c r="Q45" s="956"/>
      <c r="R45" s="956"/>
      <c r="S45" s="956"/>
      <c r="T45" s="957"/>
      <c r="U45" s="1039"/>
      <c r="V45" s="695" t="s">
        <v>45</v>
      </c>
      <c r="W45" s="653"/>
      <c r="X45" s="653"/>
      <c r="Y45" s="653"/>
      <c r="Z45" s="653"/>
      <c r="AA45" s="653"/>
      <c r="AB45" s="653"/>
      <c r="AC45" s="653"/>
      <c r="AD45" s="653"/>
      <c r="AE45" s="653"/>
      <c r="AF45" s="780"/>
      <c r="AG45" s="490">
        <v>132</v>
      </c>
      <c r="AH45" s="956">
        <v>0</v>
      </c>
      <c r="AI45" s="956"/>
      <c r="AJ45" s="956"/>
      <c r="AK45" s="956"/>
      <c r="AL45" s="956"/>
      <c r="AM45" s="956"/>
      <c r="AN45" s="957"/>
      <c r="AQ45" s="1111"/>
      <c r="AR45" s="1004"/>
      <c r="AS45" s="894"/>
      <c r="AT45" s="894"/>
      <c r="AU45" s="894"/>
      <c r="AV45" s="894"/>
      <c r="AW45" s="894"/>
      <c r="AX45" s="894"/>
      <c r="AY45" s="894"/>
      <c r="AZ45" s="894"/>
      <c r="BA45" s="894"/>
      <c r="BB45" s="894"/>
      <c r="BC45" s="454"/>
      <c r="BD45" s="895"/>
      <c r="BE45" s="895"/>
      <c r="BF45" s="895"/>
      <c r="BG45" s="895"/>
      <c r="BH45" s="895"/>
      <c r="BI45" s="1023"/>
      <c r="BJ45" s="894"/>
      <c r="BK45" s="894"/>
      <c r="BL45" s="894"/>
      <c r="BM45" s="894"/>
      <c r="BN45" s="894"/>
      <c r="BO45" s="894"/>
      <c r="BP45" s="894"/>
      <c r="BQ45" s="894"/>
      <c r="BR45" s="894"/>
      <c r="BS45" s="894"/>
      <c r="BT45" s="894"/>
      <c r="BU45" s="894"/>
      <c r="BV45" s="462"/>
      <c r="BW45" s="905"/>
      <c r="BX45" s="905"/>
      <c r="BY45" s="905"/>
      <c r="BZ45" s="905"/>
      <c r="CA45" s="905"/>
      <c r="CB45" s="905"/>
      <c r="CD45" s="448"/>
      <c r="CE45" s="408"/>
      <c r="CL45" s="93">
        <f t="shared" si="4"/>
        <v>0</v>
      </c>
      <c r="CM45" s="93">
        <f t="shared" si="5"/>
        <v>0</v>
      </c>
    </row>
    <row r="46" spans="2:93" ht="17.45" customHeight="1" x14ac:dyDescent="0.2">
      <c r="B46" s="959"/>
      <c r="C46" s="942" t="s">
        <v>27</v>
      </c>
      <c r="D46" s="943"/>
      <c r="E46" s="943"/>
      <c r="F46" s="943"/>
      <c r="G46" s="943"/>
      <c r="H46" s="943"/>
      <c r="I46" s="943"/>
      <c r="J46" s="943"/>
      <c r="K46" s="943"/>
      <c r="L46" s="944"/>
      <c r="M46" s="476">
        <v>114</v>
      </c>
      <c r="N46" s="945">
        <f>ROUND('21 GO'!C7,-3)</f>
        <v>6931000</v>
      </c>
      <c r="O46" s="946"/>
      <c r="P46" s="946"/>
      <c r="Q46" s="946"/>
      <c r="R46" s="946"/>
      <c r="S46" s="946"/>
      <c r="T46" s="947"/>
      <c r="U46" s="1039"/>
      <c r="V46" s="948" t="s">
        <v>635</v>
      </c>
      <c r="W46" s="949"/>
      <c r="X46" s="949"/>
      <c r="Y46" s="949"/>
      <c r="Z46" s="949"/>
      <c r="AA46" s="949"/>
      <c r="AB46" s="949"/>
      <c r="AC46" s="949"/>
      <c r="AD46" s="949"/>
      <c r="AE46" s="949"/>
      <c r="AF46" s="950"/>
      <c r="AG46" s="492">
        <v>133</v>
      </c>
      <c r="AH46" s="946">
        <v>17810000</v>
      </c>
      <c r="AI46" s="946"/>
      <c r="AJ46" s="946"/>
      <c r="AK46" s="946"/>
      <c r="AL46" s="946"/>
      <c r="AM46" s="946"/>
      <c r="AN46" s="947"/>
      <c r="AQ46" s="1111"/>
      <c r="AR46" s="1004"/>
      <c r="AS46" s="897"/>
      <c r="AT46" s="897"/>
      <c r="AU46" s="897"/>
      <c r="AV46" s="897"/>
      <c r="AW46" s="897"/>
      <c r="AX46" s="897"/>
      <c r="AY46" s="897"/>
      <c r="AZ46" s="897"/>
      <c r="BA46" s="897"/>
      <c r="BB46" s="897"/>
      <c r="BC46" s="442"/>
      <c r="BD46" s="904"/>
      <c r="BE46" s="904"/>
      <c r="BF46" s="904"/>
      <c r="BG46" s="904"/>
      <c r="BH46" s="904"/>
      <c r="BI46" s="1023"/>
      <c r="BJ46" s="897"/>
      <c r="BK46" s="897"/>
      <c r="BL46" s="897"/>
      <c r="BM46" s="897"/>
      <c r="BN46" s="897"/>
      <c r="BO46" s="897"/>
      <c r="BP46" s="897"/>
      <c r="BQ46" s="897"/>
      <c r="BR46" s="897"/>
      <c r="BS46" s="897"/>
      <c r="BT46" s="897"/>
      <c r="BU46" s="897"/>
      <c r="BV46" s="443"/>
      <c r="BW46" s="951"/>
      <c r="BX46" s="951"/>
      <c r="BY46" s="951"/>
      <c r="BZ46" s="951"/>
      <c r="CA46" s="951"/>
      <c r="CB46" s="951"/>
      <c r="CD46" s="408"/>
      <c r="CE46" s="408"/>
      <c r="CL46" s="93">
        <f t="shared" si="4"/>
        <v>0</v>
      </c>
      <c r="CM46" s="93">
        <f t="shared" si="5"/>
        <v>0</v>
      </c>
    </row>
    <row r="47" spans="2:93" ht="17.45" customHeight="1" x14ac:dyDescent="0.2">
      <c r="B47" s="960"/>
      <c r="C47" s="933" t="s">
        <v>636</v>
      </c>
      <c r="D47" s="934"/>
      <c r="E47" s="934"/>
      <c r="F47" s="934"/>
      <c r="G47" s="934"/>
      <c r="H47" s="934"/>
      <c r="I47" s="934"/>
      <c r="J47" s="934"/>
      <c r="K47" s="934"/>
      <c r="L47" s="935"/>
      <c r="M47" s="494">
        <v>115</v>
      </c>
      <c r="N47" s="936">
        <f>ROUND('21 GO'!D7,-3)</f>
        <v>0</v>
      </c>
      <c r="O47" s="937"/>
      <c r="P47" s="937"/>
      <c r="Q47" s="937"/>
      <c r="R47" s="937"/>
      <c r="S47" s="937"/>
      <c r="T47" s="938"/>
      <c r="U47" s="1040"/>
      <c r="V47" s="939" t="s">
        <v>637</v>
      </c>
      <c r="W47" s="940"/>
      <c r="X47" s="940"/>
      <c r="Y47" s="940"/>
      <c r="Z47" s="940"/>
      <c r="AA47" s="940"/>
      <c r="AB47" s="940"/>
      <c r="AC47" s="940"/>
      <c r="AD47" s="940"/>
      <c r="AE47" s="940"/>
      <c r="AF47" s="941"/>
      <c r="AG47" s="495">
        <v>134</v>
      </c>
      <c r="AH47" s="937">
        <f>ROUND('24 Anticipo'!C20,-3)</f>
        <v>66567000</v>
      </c>
      <c r="AI47" s="937"/>
      <c r="AJ47" s="937"/>
      <c r="AK47" s="937"/>
      <c r="AL47" s="937"/>
      <c r="AM47" s="937"/>
      <c r="AN47" s="938"/>
      <c r="AQ47" s="1111"/>
      <c r="AR47" s="1004"/>
      <c r="AS47" s="894"/>
      <c r="AT47" s="894"/>
      <c r="AU47" s="894"/>
      <c r="AV47" s="894"/>
      <c r="AW47" s="894"/>
      <c r="AX47" s="894"/>
      <c r="AY47" s="894"/>
      <c r="AZ47" s="894"/>
      <c r="BA47" s="894"/>
      <c r="BB47" s="894"/>
      <c r="BC47" s="454"/>
      <c r="BD47" s="895"/>
      <c r="BE47" s="895"/>
      <c r="BF47" s="895"/>
      <c r="BG47" s="895"/>
      <c r="BH47" s="895"/>
      <c r="BI47" s="1023"/>
      <c r="BJ47" s="897"/>
      <c r="BK47" s="897"/>
      <c r="BL47" s="897"/>
      <c r="BM47" s="897"/>
      <c r="BN47" s="897"/>
      <c r="BO47" s="897"/>
      <c r="BP47" s="897"/>
      <c r="BQ47" s="897"/>
      <c r="BR47" s="897"/>
      <c r="BS47" s="897"/>
      <c r="BT47" s="897"/>
      <c r="BU47" s="897"/>
      <c r="BV47" s="443"/>
      <c r="BW47" s="917"/>
      <c r="BX47" s="917"/>
      <c r="BY47" s="917"/>
      <c r="BZ47" s="917"/>
      <c r="CA47" s="917"/>
      <c r="CB47" s="917"/>
      <c r="CD47" s="408"/>
      <c r="CE47" s="408"/>
      <c r="CL47" s="93">
        <f t="shared" si="4"/>
        <v>0</v>
      </c>
      <c r="CM47" s="93">
        <f t="shared" si="5"/>
        <v>0</v>
      </c>
    </row>
    <row r="48" spans="2:93" ht="18.95" customHeight="1" x14ac:dyDescent="0.2">
      <c r="B48" s="918" t="s">
        <v>638</v>
      </c>
      <c r="C48" s="919"/>
      <c r="D48" s="920"/>
      <c r="E48" s="496">
        <v>135</v>
      </c>
      <c r="F48" s="921">
        <f>IF(AH43+AH47-AH44-AH45-AH46&lt;0,0,AH43+AH47-AH44-AH45-AH46)</f>
        <v>161259000</v>
      </c>
      <c r="G48" s="922"/>
      <c r="H48" s="922"/>
      <c r="I48" s="922"/>
      <c r="J48" s="922"/>
      <c r="K48" s="923"/>
      <c r="L48" s="924" t="s">
        <v>6</v>
      </c>
      <c r="M48" s="925"/>
      <c r="N48" s="926"/>
      <c r="O48" s="496">
        <v>136</v>
      </c>
      <c r="P48" s="927"/>
      <c r="Q48" s="928"/>
      <c r="R48" s="928"/>
      <c r="S48" s="928"/>
      <c r="T48" s="929"/>
      <c r="U48" s="930" t="s">
        <v>639</v>
      </c>
      <c r="V48" s="931"/>
      <c r="W48" s="931"/>
      <c r="X48" s="932"/>
      <c r="Y48" s="496">
        <v>137</v>
      </c>
      <c r="Z48" s="921">
        <f>IF(AH43+AH47+P48-AH44-AH45-AH46&lt;0,0,AH43+AH47+P48-AH44-AH45-AH46)</f>
        <v>161259000</v>
      </c>
      <c r="AA48" s="922"/>
      <c r="AB48" s="922"/>
      <c r="AC48" s="922"/>
      <c r="AD48" s="922"/>
      <c r="AE48" s="923"/>
      <c r="AF48" s="930" t="s">
        <v>640</v>
      </c>
      <c r="AG48" s="931"/>
      <c r="AH48" s="932"/>
      <c r="AI48" s="496">
        <v>138</v>
      </c>
      <c r="AJ48" s="921">
        <f>IF(AH44+AH45+AH46-AH43-AH47-P48&lt;0,0,AH44+AH45+AH46-AH43-AH47-P48)</f>
        <v>0</v>
      </c>
      <c r="AK48" s="922"/>
      <c r="AL48" s="922"/>
      <c r="AM48" s="922"/>
      <c r="AN48" s="923"/>
      <c r="AQ48" s="1111"/>
      <c r="AR48" s="914"/>
      <c r="AS48" s="914"/>
      <c r="AT48" s="914"/>
      <c r="AU48" s="914"/>
      <c r="AV48" s="914"/>
      <c r="AW48" s="914"/>
      <c r="AX48" s="914"/>
      <c r="AY48" s="914"/>
      <c r="AZ48" s="914"/>
      <c r="BA48" s="914"/>
      <c r="BB48" s="914"/>
      <c r="BC48" s="454"/>
      <c r="BD48" s="904"/>
      <c r="BE48" s="904"/>
      <c r="BF48" s="904"/>
      <c r="BG48" s="904"/>
      <c r="BH48" s="904"/>
      <c r="BI48" s="1023"/>
      <c r="BJ48" s="897"/>
      <c r="BK48" s="897"/>
      <c r="BL48" s="897"/>
      <c r="BM48" s="897"/>
      <c r="BN48" s="897"/>
      <c r="BO48" s="897"/>
      <c r="BP48" s="897"/>
      <c r="BQ48" s="897"/>
      <c r="BR48" s="897"/>
      <c r="BS48" s="897"/>
      <c r="BT48" s="897"/>
      <c r="BU48" s="897"/>
      <c r="BV48" s="443"/>
      <c r="BW48" s="917"/>
      <c r="BX48" s="917"/>
      <c r="BY48" s="917"/>
      <c r="BZ48" s="917"/>
      <c r="CA48" s="917"/>
      <c r="CB48" s="917"/>
      <c r="CD48" s="448"/>
      <c r="CE48" s="408"/>
      <c r="CL48" s="93">
        <f>IF(F48&lt;0,1,0)</f>
        <v>0</v>
      </c>
      <c r="CM48" s="93">
        <f>IF(P48&lt;0,1,0)</f>
        <v>0</v>
      </c>
      <c r="CN48" s="93">
        <f>IF(Z48&lt;0,1,0)</f>
        <v>0</v>
      </c>
      <c r="CO48" s="93">
        <f>IF(AJ48&lt;0,1,0)</f>
        <v>0</v>
      </c>
    </row>
    <row r="49" spans="2:95" ht="11.45" customHeight="1" x14ac:dyDescent="0.2">
      <c r="B49" s="497"/>
      <c r="C49" s="474"/>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4"/>
      <c r="AN49" s="498"/>
      <c r="AQ49" s="1111"/>
      <c r="AR49" s="914"/>
      <c r="AS49" s="914"/>
      <c r="AT49" s="914"/>
      <c r="AU49" s="914"/>
      <c r="AV49" s="914"/>
      <c r="AW49" s="914"/>
      <c r="AX49" s="914"/>
      <c r="AY49" s="914"/>
      <c r="AZ49" s="914"/>
      <c r="BA49" s="914"/>
      <c r="BB49" s="914"/>
      <c r="BC49" s="454"/>
      <c r="BD49" s="904"/>
      <c r="BE49" s="904"/>
      <c r="BF49" s="904"/>
      <c r="BG49" s="904"/>
      <c r="BH49" s="904"/>
      <c r="BI49" s="1023"/>
      <c r="BJ49" s="897"/>
      <c r="BK49" s="897"/>
      <c r="BL49" s="897"/>
      <c r="BM49" s="897"/>
      <c r="BN49" s="897"/>
      <c r="BO49" s="897"/>
      <c r="BP49" s="897"/>
      <c r="BQ49" s="897"/>
      <c r="BR49" s="897"/>
      <c r="BS49" s="897"/>
      <c r="BT49" s="897"/>
      <c r="BU49" s="897"/>
      <c r="BV49" s="443"/>
      <c r="BW49" s="916"/>
      <c r="BX49" s="916"/>
      <c r="BY49" s="916"/>
      <c r="BZ49" s="916"/>
      <c r="CA49" s="916"/>
      <c r="CB49" s="916"/>
      <c r="CD49" s="408"/>
      <c r="CE49" s="408"/>
      <c r="CL49" s="93"/>
      <c r="CM49" s="93"/>
    </row>
    <row r="50" spans="2:95" ht="10.5" customHeight="1" x14ac:dyDescent="0.2">
      <c r="B50" s="499"/>
      <c r="C50" s="500"/>
      <c r="D50" s="500"/>
      <c r="E50" s="500"/>
      <c r="F50" s="500"/>
      <c r="G50" s="500"/>
      <c r="H50" s="500"/>
      <c r="I50" s="500"/>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0"/>
      <c r="AK50" s="500"/>
      <c r="AL50" s="500"/>
      <c r="AM50" s="500"/>
      <c r="AN50" s="155"/>
      <c r="AQ50" s="1111"/>
      <c r="AR50" s="914"/>
      <c r="AS50" s="914"/>
      <c r="AT50" s="914"/>
      <c r="AU50" s="914"/>
      <c r="AV50" s="914"/>
      <c r="AW50" s="914"/>
      <c r="AX50" s="914"/>
      <c r="AY50" s="914"/>
      <c r="AZ50" s="914"/>
      <c r="BA50" s="914"/>
      <c r="BB50" s="914"/>
      <c r="BC50" s="454"/>
      <c r="BD50" s="904"/>
      <c r="BE50" s="904"/>
      <c r="BF50" s="904"/>
      <c r="BG50" s="904"/>
      <c r="BH50" s="904"/>
      <c r="BI50" s="1023"/>
      <c r="BJ50" s="894"/>
      <c r="BK50" s="894"/>
      <c r="BL50" s="894"/>
      <c r="BM50" s="894"/>
      <c r="BN50" s="894"/>
      <c r="BO50" s="894"/>
      <c r="BP50" s="894"/>
      <c r="BQ50" s="894"/>
      <c r="BR50" s="894"/>
      <c r="BS50" s="894"/>
      <c r="BT50" s="894"/>
      <c r="BU50" s="894"/>
      <c r="BV50" s="462"/>
      <c r="BW50" s="905"/>
      <c r="BX50" s="905"/>
      <c r="BY50" s="905"/>
      <c r="BZ50" s="905"/>
      <c r="CA50" s="905"/>
      <c r="CB50" s="905"/>
      <c r="CD50" s="501"/>
      <c r="CE50" s="408"/>
      <c r="CL50" s="93"/>
      <c r="CM50" s="93"/>
    </row>
    <row r="51" spans="2:95" ht="13.5" customHeight="1" x14ac:dyDescent="0.2">
      <c r="B51" s="401"/>
      <c r="C51" s="403"/>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L51" s="403"/>
      <c r="AM51" s="403"/>
      <c r="AN51" s="158"/>
      <c r="AQ51" s="1111"/>
      <c r="AR51" s="915"/>
      <c r="AS51" s="915"/>
      <c r="AT51" s="915"/>
      <c r="AU51" s="915"/>
      <c r="AV51" s="915"/>
      <c r="AW51" s="915"/>
      <c r="AX51" s="915"/>
      <c r="AY51" s="915"/>
      <c r="AZ51" s="915"/>
      <c r="BA51" s="915"/>
      <c r="BB51" s="915"/>
      <c r="BC51" s="442"/>
      <c r="BD51" s="904"/>
      <c r="BE51" s="904"/>
      <c r="BF51" s="904"/>
      <c r="BG51" s="904"/>
      <c r="BH51" s="904"/>
      <c r="BI51" s="1023"/>
      <c r="BJ51" s="897"/>
      <c r="BK51" s="897"/>
      <c r="BL51" s="897"/>
      <c r="BM51" s="897"/>
      <c r="BN51" s="897"/>
      <c r="BO51" s="897"/>
      <c r="BP51" s="897"/>
      <c r="BQ51" s="897"/>
      <c r="BR51" s="897"/>
      <c r="BS51" s="897"/>
      <c r="BT51" s="897"/>
      <c r="BU51" s="897"/>
      <c r="BV51" s="478"/>
      <c r="BW51" s="916"/>
      <c r="BX51" s="916"/>
      <c r="BY51" s="916"/>
      <c r="BZ51" s="916"/>
      <c r="CA51" s="916"/>
      <c r="CB51" s="916"/>
      <c r="CD51" s="501"/>
      <c r="CE51" s="408"/>
      <c r="CL51" s="93"/>
      <c r="CM51" s="93"/>
    </row>
    <row r="52" spans="2:95" ht="12" customHeight="1" x14ac:dyDescent="0.2">
      <c r="B52" s="502"/>
      <c r="C52" s="503"/>
      <c r="D52" s="503"/>
      <c r="E52" s="503"/>
      <c r="F52" s="503"/>
      <c r="G52" s="503"/>
      <c r="H52" s="503"/>
      <c r="I52" s="503"/>
      <c r="J52" s="503"/>
      <c r="K52" s="503"/>
      <c r="L52" s="503"/>
      <c r="M52" s="503"/>
      <c r="N52" s="504"/>
      <c r="O52" s="502"/>
      <c r="P52" s="503"/>
      <c r="Q52" s="503"/>
      <c r="R52" s="503"/>
      <c r="S52" s="503"/>
      <c r="T52" s="503"/>
      <c r="U52" s="503"/>
      <c r="V52" s="503"/>
      <c r="W52" s="503"/>
      <c r="X52" s="503"/>
      <c r="Y52" s="503"/>
      <c r="Z52" s="504"/>
      <c r="AA52" s="502"/>
      <c r="AB52" s="503"/>
      <c r="AC52" s="503"/>
      <c r="AD52" s="503"/>
      <c r="AE52" s="503"/>
      <c r="AF52" s="503"/>
      <c r="AG52" s="503"/>
      <c r="AH52" s="503"/>
      <c r="AI52" s="503"/>
      <c r="AJ52" s="503"/>
      <c r="AK52" s="503"/>
      <c r="AL52" s="503"/>
      <c r="AM52" s="503"/>
      <c r="AN52" s="505"/>
      <c r="AQ52" s="1111"/>
      <c r="AR52" s="897"/>
      <c r="AS52" s="897"/>
      <c r="AT52" s="897"/>
      <c r="AU52" s="897"/>
      <c r="AV52" s="897"/>
      <c r="AW52" s="897"/>
      <c r="AX52" s="897"/>
      <c r="AY52" s="897"/>
      <c r="AZ52" s="897"/>
      <c r="BA52" s="897"/>
      <c r="BB52" s="897"/>
      <c r="BC52" s="442"/>
      <c r="BD52" s="904"/>
      <c r="BE52" s="904"/>
      <c r="BF52" s="904"/>
      <c r="BG52" s="904"/>
      <c r="BH52" s="904"/>
      <c r="BI52" s="1023"/>
      <c r="BJ52" s="894"/>
      <c r="BK52" s="894"/>
      <c r="BL52" s="894"/>
      <c r="BM52" s="894"/>
      <c r="BN52" s="894"/>
      <c r="BO52" s="894"/>
      <c r="BP52" s="894"/>
      <c r="BQ52" s="894"/>
      <c r="BR52" s="894"/>
      <c r="BS52" s="894"/>
      <c r="BT52" s="894"/>
      <c r="BU52" s="894"/>
      <c r="BV52" s="462"/>
      <c r="BW52" s="905"/>
      <c r="BX52" s="905"/>
      <c r="BY52" s="905"/>
      <c r="BZ52" s="905"/>
      <c r="CA52" s="905"/>
      <c r="CB52" s="905"/>
      <c r="CD52" s="501"/>
      <c r="CE52" s="408"/>
      <c r="CL52" s="93"/>
      <c r="CM52" s="93"/>
    </row>
    <row r="53" spans="2:95" ht="16.5" customHeight="1" x14ac:dyDescent="0.2">
      <c r="B53" s="506" t="s">
        <v>641</v>
      </c>
      <c r="C53" s="507"/>
      <c r="D53" s="507"/>
      <c r="E53" s="507"/>
      <c r="F53" s="507"/>
      <c r="G53" s="508"/>
      <c r="H53" s="508"/>
      <c r="I53" s="906" t="s">
        <v>642</v>
      </c>
      <c r="J53" s="906"/>
      <c r="K53" s="906"/>
      <c r="L53" s="906"/>
      <c r="M53" s="906"/>
      <c r="N53" s="907"/>
      <c r="O53" s="509" t="s">
        <v>643</v>
      </c>
      <c r="P53" s="510"/>
      <c r="Q53" s="510"/>
      <c r="R53" s="510"/>
      <c r="S53" s="510"/>
      <c r="T53" s="510"/>
      <c r="U53" s="510"/>
      <c r="V53" s="510"/>
      <c r="W53" s="510"/>
      <c r="X53" s="510"/>
      <c r="Y53" s="510"/>
      <c r="Z53" s="511"/>
      <c r="AA53" s="512" t="s">
        <v>644</v>
      </c>
      <c r="AB53" s="510"/>
      <c r="AC53" s="510"/>
      <c r="AD53" s="510"/>
      <c r="AE53" s="510"/>
      <c r="AF53" s="510"/>
      <c r="AG53" s="910"/>
      <c r="AH53" s="911"/>
      <c r="AI53" s="911"/>
      <c r="AJ53" s="911"/>
      <c r="AK53" s="911"/>
      <c r="AL53" s="911"/>
      <c r="AM53" s="912"/>
      <c r="AN53" s="513"/>
      <c r="AQ53" s="1111"/>
      <c r="AR53" s="897"/>
      <c r="AS53" s="897"/>
      <c r="AT53" s="897"/>
      <c r="AU53" s="897"/>
      <c r="AV53" s="897"/>
      <c r="AW53" s="897"/>
      <c r="AX53" s="897"/>
      <c r="AY53" s="897"/>
      <c r="AZ53" s="897"/>
      <c r="BA53" s="897"/>
      <c r="BB53" s="897"/>
      <c r="BC53" s="442"/>
      <c r="BD53" s="904"/>
      <c r="BE53" s="904"/>
      <c r="BF53" s="904"/>
      <c r="BG53" s="904"/>
      <c r="BH53" s="904"/>
      <c r="BI53" s="1023"/>
      <c r="BJ53" s="894"/>
      <c r="BK53" s="894"/>
      <c r="BL53" s="894"/>
      <c r="BM53" s="894"/>
      <c r="BN53" s="894"/>
      <c r="BO53" s="894"/>
      <c r="BP53" s="894"/>
      <c r="BQ53" s="894"/>
      <c r="BR53" s="894"/>
      <c r="BS53" s="894"/>
      <c r="BT53" s="894"/>
      <c r="BU53" s="894"/>
      <c r="BV53" s="462"/>
      <c r="BW53" s="913"/>
      <c r="BX53" s="913"/>
      <c r="BY53" s="913"/>
      <c r="BZ53" s="913"/>
      <c r="CA53" s="913"/>
      <c r="CB53" s="913"/>
      <c r="CD53" s="501"/>
      <c r="CE53" s="408"/>
      <c r="CL53" s="93"/>
      <c r="CM53" s="93"/>
    </row>
    <row r="54" spans="2:95" ht="20.45" customHeight="1" x14ac:dyDescent="0.2">
      <c r="B54" s="514"/>
      <c r="C54" s="515"/>
      <c r="D54" s="515"/>
      <c r="E54" s="515"/>
      <c r="F54" s="515"/>
      <c r="G54" s="515"/>
      <c r="H54" s="515"/>
      <c r="I54" s="908"/>
      <c r="J54" s="908"/>
      <c r="K54" s="908"/>
      <c r="L54" s="908"/>
      <c r="M54" s="908"/>
      <c r="N54" s="909"/>
      <c r="O54" s="512"/>
      <c r="P54" s="510"/>
      <c r="Q54" s="510"/>
      <c r="R54" s="510"/>
      <c r="S54" s="510"/>
      <c r="T54" s="510"/>
      <c r="U54" s="510"/>
      <c r="V54" s="510"/>
      <c r="W54" s="510"/>
      <c r="X54" s="510"/>
      <c r="Y54" s="510"/>
      <c r="Z54" s="511"/>
      <c r="AA54" s="516"/>
      <c r="AB54" s="517"/>
      <c r="AC54" s="517"/>
      <c r="AD54" s="517"/>
      <c r="AE54" s="517"/>
      <c r="AF54" s="517"/>
      <c r="AG54" s="517"/>
      <c r="AH54" s="517"/>
      <c r="AI54" s="517"/>
      <c r="AJ54" s="517"/>
      <c r="AK54" s="517"/>
      <c r="AL54" s="517"/>
      <c r="AM54" s="517"/>
      <c r="AN54" s="518"/>
      <c r="AQ54" s="1111"/>
      <c r="AR54" s="894"/>
      <c r="AS54" s="894"/>
      <c r="AT54" s="894"/>
      <c r="AU54" s="894"/>
      <c r="AV54" s="894"/>
      <c r="AW54" s="894"/>
      <c r="AX54" s="894"/>
      <c r="AY54" s="894"/>
      <c r="AZ54" s="894"/>
      <c r="BA54" s="894"/>
      <c r="BB54" s="894"/>
      <c r="BC54" s="454"/>
      <c r="BD54" s="895"/>
      <c r="BE54" s="895"/>
      <c r="BF54" s="895"/>
      <c r="BG54" s="895"/>
      <c r="BH54" s="895"/>
      <c r="BI54" s="896"/>
      <c r="BJ54" s="896"/>
      <c r="BK54" s="896"/>
      <c r="BL54" s="896"/>
      <c r="BM54" s="896"/>
      <c r="BN54" s="896"/>
      <c r="BO54" s="896"/>
      <c r="BP54" s="896"/>
      <c r="BQ54" s="896"/>
      <c r="BR54" s="896"/>
      <c r="BS54" s="896"/>
      <c r="BT54" s="897"/>
      <c r="BU54" s="897"/>
      <c r="BV54" s="897"/>
      <c r="BW54" s="897"/>
      <c r="BX54" s="897"/>
      <c r="BY54" s="519"/>
      <c r="BZ54" s="520"/>
      <c r="CA54" s="521"/>
      <c r="CB54" s="521"/>
      <c r="CD54" s="501"/>
      <c r="CE54" s="408"/>
      <c r="CL54" s="93"/>
      <c r="CM54" s="93"/>
    </row>
    <row r="55" spans="2:95" ht="6.6" customHeight="1" x14ac:dyDescent="0.2">
      <c r="B55" s="506"/>
      <c r="C55" s="507"/>
      <c r="D55" s="507"/>
      <c r="E55" s="507"/>
      <c r="F55" s="507"/>
      <c r="G55" s="507"/>
      <c r="H55" s="507"/>
      <c r="I55" s="507"/>
      <c r="J55" s="507"/>
      <c r="K55" s="507"/>
      <c r="L55" s="507"/>
      <c r="M55" s="507"/>
      <c r="N55" s="522"/>
      <c r="O55" s="512"/>
      <c r="P55" s="510"/>
      <c r="Q55" s="510"/>
      <c r="R55" s="510"/>
      <c r="S55" s="510"/>
      <c r="T55" s="510"/>
      <c r="U55" s="510"/>
      <c r="V55" s="510"/>
      <c r="W55" s="510"/>
      <c r="X55" s="510"/>
      <c r="Y55" s="510"/>
      <c r="Z55" s="511"/>
      <c r="AA55" s="898"/>
      <c r="AB55" s="899"/>
      <c r="AC55" s="899"/>
      <c r="AD55" s="899"/>
      <c r="AE55" s="899"/>
      <c r="AF55" s="899"/>
      <c r="AG55" s="899"/>
      <c r="AH55" s="899"/>
      <c r="AI55" s="899"/>
      <c r="AJ55" s="899"/>
      <c r="AK55" s="899"/>
      <c r="AL55" s="899"/>
      <c r="AM55" s="899"/>
      <c r="AN55" s="899"/>
      <c r="AQ55" s="896"/>
      <c r="AR55" s="896"/>
      <c r="AS55" s="896"/>
      <c r="AT55" s="896"/>
      <c r="AU55" s="896"/>
      <c r="AV55" s="523"/>
      <c r="AW55" s="523"/>
      <c r="AX55" s="524"/>
      <c r="AY55" s="524"/>
      <c r="AZ55" s="524"/>
      <c r="BA55" s="524"/>
      <c r="BB55" s="524"/>
      <c r="BC55" s="524"/>
      <c r="BD55" s="902"/>
      <c r="BE55" s="902"/>
      <c r="BF55" s="902"/>
      <c r="BG55" s="902"/>
      <c r="BH55" s="902"/>
      <c r="BI55" s="902"/>
      <c r="BJ55" s="902"/>
      <c r="BK55" s="902"/>
      <c r="BL55" s="902"/>
      <c r="BM55" s="902"/>
      <c r="BN55" s="902"/>
      <c r="BO55" s="902"/>
      <c r="BP55" s="525"/>
      <c r="BQ55" s="526"/>
      <c r="BR55" s="527"/>
      <c r="BS55" s="527"/>
      <c r="BT55" s="527"/>
      <c r="BU55" s="527"/>
      <c r="BV55" s="527"/>
      <c r="BW55" s="527"/>
      <c r="BX55" s="527"/>
      <c r="BY55" s="527"/>
      <c r="BZ55" s="527"/>
      <c r="CA55" s="527"/>
      <c r="CB55" s="527"/>
      <c r="CD55" s="501"/>
      <c r="CE55" s="408"/>
      <c r="CL55" s="87">
        <f>SUM(CL10:CL54)</f>
        <v>0</v>
      </c>
      <c r="CM55" s="87">
        <f t="shared" ref="CM55:CO55" si="6">SUM(CM10:CM54)</f>
        <v>0</v>
      </c>
      <c r="CN55" s="87">
        <f t="shared" si="6"/>
        <v>0</v>
      </c>
      <c r="CO55" s="87">
        <f t="shared" si="6"/>
        <v>0</v>
      </c>
      <c r="CQ55" s="86">
        <f>+CL55+CM55+CN55+CO55</f>
        <v>0</v>
      </c>
    </row>
    <row r="56" spans="2:95" ht="13.5" customHeight="1" x14ac:dyDescent="0.2">
      <c r="B56" s="506" t="s">
        <v>645</v>
      </c>
      <c r="C56" s="507"/>
      <c r="D56" s="507"/>
      <c r="E56" s="528"/>
      <c r="F56" s="507" t="s">
        <v>141</v>
      </c>
      <c r="G56" s="507"/>
      <c r="H56" s="507"/>
      <c r="I56" s="507" t="s">
        <v>140</v>
      </c>
      <c r="J56" s="507"/>
      <c r="K56" s="507"/>
      <c r="L56" s="507"/>
      <c r="M56" s="529"/>
      <c r="N56" s="522"/>
      <c r="O56" s="512"/>
      <c r="P56" s="510"/>
      <c r="Q56" s="510"/>
      <c r="R56" s="510"/>
      <c r="S56" s="510"/>
      <c r="T56" s="510"/>
      <c r="U56" s="510"/>
      <c r="V56" s="510"/>
      <c r="W56" s="510"/>
      <c r="X56" s="510"/>
      <c r="Y56" s="510"/>
      <c r="Z56" s="511"/>
      <c r="AA56" s="900"/>
      <c r="AB56" s="901"/>
      <c r="AC56" s="901"/>
      <c r="AD56" s="901"/>
      <c r="AE56" s="901"/>
      <c r="AF56" s="901"/>
      <c r="AG56" s="901"/>
      <c r="AH56" s="901"/>
      <c r="AI56" s="901"/>
      <c r="AJ56" s="901"/>
      <c r="AK56" s="901"/>
      <c r="AL56" s="901"/>
      <c r="AM56" s="901"/>
      <c r="AN56" s="901"/>
      <c r="AQ56" s="891"/>
      <c r="AR56" s="891"/>
      <c r="AS56" s="891"/>
      <c r="AT56" s="891"/>
      <c r="AU56" s="891"/>
      <c r="AX56" s="530"/>
      <c r="AY56" s="530"/>
      <c r="AZ56" s="530"/>
      <c r="BA56" s="530"/>
      <c r="BB56" s="531"/>
      <c r="BC56" s="532"/>
      <c r="BD56" s="532"/>
      <c r="BE56" s="532"/>
      <c r="BF56" s="532"/>
      <c r="BG56" s="532"/>
      <c r="BH56" s="532"/>
      <c r="BI56" s="533"/>
      <c r="BJ56" s="534"/>
      <c r="BK56" s="534"/>
      <c r="BL56" s="534"/>
      <c r="BM56" s="534"/>
      <c r="BN56" s="534"/>
      <c r="BO56" s="534"/>
      <c r="BP56" s="525"/>
      <c r="BQ56" s="525"/>
      <c r="BR56" s="535"/>
      <c r="BS56" s="535"/>
      <c r="BT56" s="535"/>
      <c r="BU56" s="535"/>
      <c r="BV56" s="903"/>
      <c r="BW56" s="903"/>
      <c r="BX56" s="903"/>
      <c r="BY56" s="903"/>
      <c r="BZ56" s="903"/>
      <c r="CA56" s="903"/>
      <c r="CB56" s="536"/>
      <c r="CD56" s="501"/>
      <c r="CE56" s="408"/>
    </row>
    <row r="57" spans="2:95" ht="9.6" customHeight="1" x14ac:dyDescent="0.2">
      <c r="B57" s="506"/>
      <c r="C57" s="507"/>
      <c r="D57" s="507"/>
      <c r="E57" s="507"/>
      <c r="F57" s="507"/>
      <c r="G57" s="507"/>
      <c r="H57" s="507"/>
      <c r="I57" s="507"/>
      <c r="J57" s="507"/>
      <c r="K57" s="507"/>
      <c r="L57" s="507"/>
      <c r="M57" s="507"/>
      <c r="N57" s="522"/>
      <c r="O57" s="512"/>
      <c r="P57" s="510"/>
      <c r="Q57" s="510"/>
      <c r="R57" s="510"/>
      <c r="S57" s="510"/>
      <c r="T57" s="510"/>
      <c r="U57" s="510"/>
      <c r="V57" s="510"/>
      <c r="W57" s="510"/>
      <c r="X57" s="510"/>
      <c r="Y57" s="510"/>
      <c r="Z57" s="511"/>
      <c r="AA57" s="900"/>
      <c r="AB57" s="901"/>
      <c r="AC57" s="901"/>
      <c r="AD57" s="901"/>
      <c r="AE57" s="901"/>
      <c r="AF57" s="901"/>
      <c r="AG57" s="901"/>
      <c r="AH57" s="901"/>
      <c r="AI57" s="901"/>
      <c r="AJ57" s="901"/>
      <c r="AK57" s="901"/>
      <c r="AL57" s="901"/>
      <c r="AM57" s="901"/>
      <c r="AN57" s="901"/>
      <c r="AQ57" s="896"/>
      <c r="AR57" s="896"/>
      <c r="AS57" s="896"/>
      <c r="AT57" s="896"/>
      <c r="AU57" s="896"/>
      <c r="AV57" s="896"/>
      <c r="AW57" s="896"/>
      <c r="AX57" s="896"/>
      <c r="AY57" s="896"/>
      <c r="AZ57" s="896"/>
      <c r="BA57" s="896"/>
      <c r="BB57" s="534"/>
      <c r="BC57" s="534"/>
      <c r="BD57" s="534"/>
      <c r="BE57" s="534"/>
      <c r="BF57" s="534"/>
      <c r="BG57" s="534"/>
      <c r="BH57" s="534"/>
      <c r="BI57" s="532"/>
      <c r="BJ57" s="537"/>
      <c r="BK57" s="537"/>
      <c r="BL57" s="537"/>
      <c r="BM57" s="537"/>
      <c r="BN57" s="537"/>
      <c r="BO57" s="537"/>
      <c r="BP57" s="525"/>
      <c r="BQ57" s="525"/>
      <c r="BR57" s="525"/>
      <c r="BS57" s="525"/>
      <c r="BT57" s="525"/>
      <c r="BU57" s="525"/>
      <c r="BV57" s="525"/>
      <c r="BW57" s="525"/>
      <c r="BX57" s="525"/>
      <c r="BY57" s="525"/>
      <c r="BZ57" s="525"/>
      <c r="CA57" s="525"/>
      <c r="CB57" s="525"/>
      <c r="CD57" s="501"/>
      <c r="CE57" s="408"/>
    </row>
    <row r="58" spans="2:95" ht="13.5" customHeight="1" x14ac:dyDescent="0.2">
      <c r="B58" s="514" t="s">
        <v>646</v>
      </c>
      <c r="C58" s="515"/>
      <c r="D58" s="515"/>
      <c r="E58" s="515"/>
      <c r="F58" s="888"/>
      <c r="G58" s="889"/>
      <c r="H58" s="889"/>
      <c r="I58" s="889"/>
      <c r="J58" s="889"/>
      <c r="K58" s="889"/>
      <c r="L58" s="889"/>
      <c r="M58" s="889"/>
      <c r="N58" s="890"/>
      <c r="O58" s="516"/>
      <c r="P58" s="517"/>
      <c r="Q58" s="517"/>
      <c r="R58" s="517"/>
      <c r="S58" s="517"/>
      <c r="T58" s="517"/>
      <c r="U58" s="517"/>
      <c r="V58" s="517"/>
      <c r="W58" s="517"/>
      <c r="X58" s="517"/>
      <c r="Y58" s="517"/>
      <c r="Z58" s="538"/>
      <c r="AA58" s="900"/>
      <c r="AB58" s="901"/>
      <c r="AC58" s="901"/>
      <c r="AD58" s="901"/>
      <c r="AE58" s="901"/>
      <c r="AF58" s="901"/>
      <c r="AG58" s="901"/>
      <c r="AH58" s="901"/>
      <c r="AI58" s="901"/>
      <c r="AJ58" s="901"/>
      <c r="AK58" s="901"/>
      <c r="AL58" s="901"/>
      <c r="AM58" s="901"/>
      <c r="AN58" s="901"/>
      <c r="AQ58" s="891"/>
      <c r="AR58" s="891"/>
      <c r="AS58" s="891"/>
      <c r="AT58" s="891"/>
      <c r="AU58" s="891"/>
      <c r="AV58" s="891"/>
      <c r="AW58" s="891"/>
      <c r="AX58" s="539"/>
      <c r="AY58" s="539"/>
      <c r="AZ58" s="525"/>
      <c r="BA58" s="525"/>
      <c r="BB58" s="525"/>
      <c r="BC58" s="537"/>
      <c r="BD58" s="537"/>
      <c r="BE58" s="537"/>
      <c r="BF58" s="537"/>
      <c r="BG58" s="537"/>
      <c r="BH58" s="537"/>
      <c r="BI58" s="534"/>
      <c r="BJ58" s="537"/>
      <c r="BK58" s="537"/>
      <c r="BL58" s="537"/>
      <c r="BM58" s="537"/>
      <c r="BN58" s="537"/>
      <c r="BO58" s="537"/>
      <c r="BP58" s="892"/>
      <c r="BQ58" s="892"/>
      <c r="BR58" s="892"/>
      <c r="BS58" s="892"/>
      <c r="BT58" s="892"/>
      <c r="BU58" s="892"/>
      <c r="BV58" s="892"/>
      <c r="BW58" s="892"/>
      <c r="BX58" s="892"/>
      <c r="BY58" s="892"/>
      <c r="BZ58" s="892"/>
      <c r="CA58" s="892"/>
      <c r="CB58" s="525"/>
      <c r="CD58" s="501"/>
      <c r="CE58" s="408"/>
    </row>
    <row r="59" spans="2:95" ht="13.5" customHeight="1" x14ac:dyDescent="0.2">
      <c r="B59" s="500"/>
      <c r="C59" s="500"/>
      <c r="D59" s="500"/>
      <c r="E59" s="500"/>
      <c r="F59" s="500"/>
      <c r="G59" s="500"/>
      <c r="H59" s="500"/>
      <c r="I59" s="500"/>
      <c r="J59" s="500"/>
      <c r="K59" s="500"/>
      <c r="L59" s="500"/>
      <c r="M59" s="500"/>
      <c r="N59" s="500"/>
      <c r="O59" s="500"/>
      <c r="P59" s="500"/>
      <c r="Q59" s="500"/>
      <c r="R59" s="500"/>
      <c r="S59" s="500"/>
      <c r="T59" s="500"/>
      <c r="U59" s="500"/>
      <c r="V59" s="500"/>
      <c r="W59" s="500"/>
      <c r="X59" s="500"/>
      <c r="Y59" s="500"/>
      <c r="Z59" s="500"/>
      <c r="AA59" s="500"/>
      <c r="AB59" s="500"/>
      <c r="AC59" s="500"/>
      <c r="AD59" s="500"/>
      <c r="AE59" s="500"/>
      <c r="AF59" s="500"/>
      <c r="AG59" s="500"/>
      <c r="AH59" s="500"/>
      <c r="AI59" s="500"/>
      <c r="AJ59" s="500"/>
      <c r="AK59" s="500"/>
      <c r="AL59" s="500"/>
      <c r="AM59" s="500"/>
      <c r="AQ59" s="893"/>
      <c r="AR59" s="893"/>
      <c r="AS59" s="893"/>
      <c r="AT59" s="893"/>
      <c r="AU59" s="893"/>
      <c r="AV59" s="525"/>
      <c r="AW59" s="525"/>
      <c r="AX59" s="525"/>
      <c r="AY59" s="525"/>
      <c r="AZ59" s="525"/>
      <c r="BA59" s="525"/>
      <c r="BB59" s="525"/>
      <c r="BC59" s="537"/>
      <c r="BD59" s="537"/>
      <c r="BE59" s="537"/>
      <c r="BF59" s="537"/>
      <c r="BG59" s="537"/>
      <c r="BH59" s="537"/>
      <c r="BI59" s="537"/>
      <c r="BJ59" s="540"/>
      <c r="BK59" s="540"/>
      <c r="BL59" s="540"/>
      <c r="BM59" s="540"/>
      <c r="BN59" s="540"/>
      <c r="BO59" s="534"/>
      <c r="BP59" s="525"/>
      <c r="BQ59" s="525"/>
      <c r="BR59" s="525"/>
      <c r="BS59" s="525"/>
      <c r="BT59" s="525"/>
      <c r="BU59" s="525"/>
      <c r="BV59" s="525"/>
      <c r="BW59" s="525"/>
      <c r="BX59" s="525"/>
      <c r="BY59" s="525"/>
      <c r="BZ59" s="525"/>
      <c r="CA59" s="525"/>
      <c r="CB59" s="525"/>
      <c r="CD59" s="501"/>
      <c r="CE59" s="408"/>
    </row>
  </sheetData>
  <mergeCells count="430">
    <mergeCell ref="BO2:BV4"/>
    <mergeCell ref="BW2:CB4"/>
    <mergeCell ref="B5:C5"/>
    <mergeCell ref="D5:G5"/>
    <mergeCell ref="Y5:AD5"/>
    <mergeCell ref="Y6:AD6"/>
    <mergeCell ref="AQ6:AR6"/>
    <mergeCell ref="AS6:AV6"/>
    <mergeCell ref="BH6:CB11"/>
    <mergeCell ref="B7:B8"/>
    <mergeCell ref="B2:G4"/>
    <mergeCell ref="J2:Z4"/>
    <mergeCell ref="AC2:AG4"/>
    <mergeCell ref="AH2:AN4"/>
    <mergeCell ref="AQ2:AV4"/>
    <mergeCell ref="AW2:BN4"/>
    <mergeCell ref="AE8:AJ8"/>
    <mergeCell ref="AK8:AN8"/>
    <mergeCell ref="P7:T7"/>
    <mergeCell ref="U7:Y7"/>
    <mergeCell ref="Z7:AD7"/>
    <mergeCell ref="AE7:AJ7"/>
    <mergeCell ref="AK7:AN7"/>
    <mergeCell ref="AQ7:BG11"/>
    <mergeCell ref="AC9:AH9"/>
    <mergeCell ref="AI9:AN9"/>
    <mergeCell ref="K10:R10"/>
    <mergeCell ref="V10:AB10"/>
    <mergeCell ref="B9:D9"/>
    <mergeCell ref="E9:H9"/>
    <mergeCell ref="I9:K9"/>
    <mergeCell ref="O9:Q9"/>
    <mergeCell ref="R9:V9"/>
    <mergeCell ref="W9:AA9"/>
    <mergeCell ref="C8:N8"/>
    <mergeCell ref="P8:T8"/>
    <mergeCell ref="U8:Y8"/>
    <mergeCell ref="Z8:AD8"/>
    <mergeCell ref="AC10:AF10"/>
    <mergeCell ref="AH10:AN10"/>
    <mergeCell ref="B11:B30"/>
    <mergeCell ref="C11:H11"/>
    <mergeCell ref="I11:P11"/>
    <mergeCell ref="Q11:X11"/>
    <mergeCell ref="Y11:AF11"/>
    <mergeCell ref="AG11:AN11"/>
    <mergeCell ref="C12:H12"/>
    <mergeCell ref="J12:P12"/>
    <mergeCell ref="R16:X16"/>
    <mergeCell ref="Z16:AF16"/>
    <mergeCell ref="AH16:AN16"/>
    <mergeCell ref="Z22:AF22"/>
    <mergeCell ref="AH22:AN22"/>
    <mergeCell ref="D21:H21"/>
    <mergeCell ref="J21:P21"/>
    <mergeCell ref="R21:X21"/>
    <mergeCell ref="Z21:AF21"/>
    <mergeCell ref="AH21:AN21"/>
    <mergeCell ref="BK12:BO12"/>
    <mergeCell ref="BP12:BT12"/>
    <mergeCell ref="BU12:BZ12"/>
    <mergeCell ref="CA12:CB12"/>
    <mergeCell ref="C13:H13"/>
    <mergeCell ref="AH13:AN13"/>
    <mergeCell ref="AR13:BD13"/>
    <mergeCell ref="BF13:BJ13"/>
    <mergeCell ref="BK13:BO13"/>
    <mergeCell ref="BP13:BT13"/>
    <mergeCell ref="R12:X12"/>
    <mergeCell ref="Z12:AF12"/>
    <mergeCell ref="AH12:AN12"/>
    <mergeCell ref="AQ12:AQ14"/>
    <mergeCell ref="AR12:BC12"/>
    <mergeCell ref="BF12:BJ12"/>
    <mergeCell ref="BF14:BJ14"/>
    <mergeCell ref="BU13:BZ13"/>
    <mergeCell ref="CA13:CB13"/>
    <mergeCell ref="C14:H14"/>
    <mergeCell ref="J14:P14"/>
    <mergeCell ref="R14:X14"/>
    <mergeCell ref="Z14:AF14"/>
    <mergeCell ref="AH14:AN14"/>
    <mergeCell ref="AR14:AT14"/>
    <mergeCell ref="AV14:AY14"/>
    <mergeCell ref="BC14:BE14"/>
    <mergeCell ref="BK14:BP14"/>
    <mergeCell ref="BR14:CA14"/>
    <mergeCell ref="C15:H15"/>
    <mergeCell ref="R15:X15"/>
    <mergeCell ref="Z15:AF15"/>
    <mergeCell ref="AH15:AN15"/>
    <mergeCell ref="AQ15:AQ17"/>
    <mergeCell ref="AR15:BB15"/>
    <mergeCell ref="BD15:BH15"/>
    <mergeCell ref="BI15:BU15"/>
    <mergeCell ref="BW16:CB16"/>
    <mergeCell ref="C17:H17"/>
    <mergeCell ref="Z17:AF17"/>
    <mergeCell ref="AH17:AN17"/>
    <mergeCell ref="AR17:BB17"/>
    <mergeCell ref="BD17:BH17"/>
    <mergeCell ref="BJ17:BU17"/>
    <mergeCell ref="BW17:CB17"/>
    <mergeCell ref="BW15:CB15"/>
    <mergeCell ref="C16:H16"/>
    <mergeCell ref="J16:P16"/>
    <mergeCell ref="AR16:BB16"/>
    <mergeCell ref="BD16:BH16"/>
    <mergeCell ref="BI16:BI20"/>
    <mergeCell ref="BJ16:BU16"/>
    <mergeCell ref="C18:C20"/>
    <mergeCell ref="D18:H18"/>
    <mergeCell ref="J18:P18"/>
    <mergeCell ref="R18:X18"/>
    <mergeCell ref="Z18:AF18"/>
    <mergeCell ref="AH18:AN18"/>
    <mergeCell ref="D19:H19"/>
    <mergeCell ref="J19:P19"/>
    <mergeCell ref="R19:X19"/>
    <mergeCell ref="Z19:AF19"/>
    <mergeCell ref="AH19:AN19"/>
    <mergeCell ref="AS19:BB19"/>
    <mergeCell ref="BD19:BH19"/>
    <mergeCell ref="BJ19:BU19"/>
    <mergeCell ref="BW19:CB19"/>
    <mergeCell ref="D20:H20"/>
    <mergeCell ref="J20:P20"/>
    <mergeCell ref="R20:X20"/>
    <mergeCell ref="Z20:AF20"/>
    <mergeCell ref="AH20:AN20"/>
    <mergeCell ref="AQ18:AQ54"/>
    <mergeCell ref="AR18:AR24"/>
    <mergeCell ref="AS18:BB18"/>
    <mergeCell ref="BD18:BH18"/>
    <mergeCell ref="BJ18:BU18"/>
    <mergeCell ref="BW18:CB18"/>
    <mergeCell ref="AS20:BB20"/>
    <mergeCell ref="BD20:BH20"/>
    <mergeCell ref="BJ20:BU20"/>
    <mergeCell ref="BW20:CB20"/>
    <mergeCell ref="AS21:BB21"/>
    <mergeCell ref="BD21:BH21"/>
    <mergeCell ref="BI21:BI27"/>
    <mergeCell ref="BJ21:BU21"/>
    <mergeCell ref="BW21:CB21"/>
    <mergeCell ref="D22:H22"/>
    <mergeCell ref="J22:P22"/>
    <mergeCell ref="R22:X22"/>
    <mergeCell ref="BW22:CB22"/>
    <mergeCell ref="D23:H23"/>
    <mergeCell ref="J23:P23"/>
    <mergeCell ref="R23:X23"/>
    <mergeCell ref="Z23:AF23"/>
    <mergeCell ref="AH23:AN23"/>
    <mergeCell ref="AS23:BB23"/>
    <mergeCell ref="BD23:BH23"/>
    <mergeCell ref="BJ23:BU23"/>
    <mergeCell ref="BW23:CB23"/>
    <mergeCell ref="C24:H24"/>
    <mergeCell ref="J24:P24"/>
    <mergeCell ref="R24:X24"/>
    <mergeCell ref="Z24:AF24"/>
    <mergeCell ref="AH24:AN24"/>
    <mergeCell ref="AS24:BB24"/>
    <mergeCell ref="BD24:BH24"/>
    <mergeCell ref="C21:C23"/>
    <mergeCell ref="BJ24:BU24"/>
    <mergeCell ref="AS22:BB22"/>
    <mergeCell ref="BD22:BH22"/>
    <mergeCell ref="BJ22:BU22"/>
    <mergeCell ref="BW24:CB24"/>
    <mergeCell ref="C25:H25"/>
    <mergeCell ref="J25:P25"/>
    <mergeCell ref="R25:X25"/>
    <mergeCell ref="Z25:AF25"/>
    <mergeCell ref="AH25:AN25"/>
    <mergeCell ref="AR25:AR35"/>
    <mergeCell ref="AS25:BB25"/>
    <mergeCell ref="BD25:BH25"/>
    <mergeCell ref="BJ25:BU25"/>
    <mergeCell ref="BW25:CB25"/>
    <mergeCell ref="C26:H26"/>
    <mergeCell ref="J26:P26"/>
    <mergeCell ref="R26:X26"/>
    <mergeCell ref="Z26:AF26"/>
    <mergeCell ref="AH26:AN26"/>
    <mergeCell ref="AS26:BB26"/>
    <mergeCell ref="BD26:BH26"/>
    <mergeCell ref="BJ26:BU26"/>
    <mergeCell ref="BW26:CB26"/>
    <mergeCell ref="C27:H27"/>
    <mergeCell ref="J27:P27"/>
    <mergeCell ref="R27:X27"/>
    <mergeCell ref="Z27:AF27"/>
    <mergeCell ref="AH27:AN27"/>
    <mergeCell ref="AS27:BB27"/>
    <mergeCell ref="BD27:BH27"/>
    <mergeCell ref="BJ27:BU27"/>
    <mergeCell ref="BW27:CB27"/>
    <mergeCell ref="C29:E29"/>
    <mergeCell ref="G29:K29"/>
    <mergeCell ref="L29:N29"/>
    <mergeCell ref="P29:T29"/>
    <mergeCell ref="U29:W29"/>
    <mergeCell ref="Y29:AE29"/>
    <mergeCell ref="C28:H28"/>
    <mergeCell ref="J28:P28"/>
    <mergeCell ref="R28:X28"/>
    <mergeCell ref="Z28:AF28"/>
    <mergeCell ref="AF29:AH29"/>
    <mergeCell ref="AJ29:AN29"/>
    <mergeCell ref="AS29:BB29"/>
    <mergeCell ref="BD29:BH29"/>
    <mergeCell ref="BJ29:BU29"/>
    <mergeCell ref="BW29:CB29"/>
    <mergeCell ref="BD28:BH28"/>
    <mergeCell ref="BI28:BI31"/>
    <mergeCell ref="BJ28:BU28"/>
    <mergeCell ref="BW28:CB28"/>
    <mergeCell ref="AH28:AN28"/>
    <mergeCell ref="AS28:BB28"/>
    <mergeCell ref="AF30:AH30"/>
    <mergeCell ref="AJ30:AN30"/>
    <mergeCell ref="AS30:BB30"/>
    <mergeCell ref="BD30:BH30"/>
    <mergeCell ref="BJ30:BU30"/>
    <mergeCell ref="BW30:CB30"/>
    <mergeCell ref="C30:E30"/>
    <mergeCell ref="G30:K30"/>
    <mergeCell ref="L30:N30"/>
    <mergeCell ref="P30:T30"/>
    <mergeCell ref="U30:W30"/>
    <mergeCell ref="Y30:AE30"/>
    <mergeCell ref="BJ31:BU31"/>
    <mergeCell ref="BW31:CB31"/>
    <mergeCell ref="C32:L32"/>
    <mergeCell ref="N32:T32"/>
    <mergeCell ref="U32:U47"/>
    <mergeCell ref="V32:V37"/>
    <mergeCell ref="W32:AF32"/>
    <mergeCell ref="AH32:AN32"/>
    <mergeCell ref="AS32:BB32"/>
    <mergeCell ref="BD32:BH32"/>
    <mergeCell ref="C31:L31"/>
    <mergeCell ref="N31:T31"/>
    <mergeCell ref="AH31:AN31"/>
    <mergeCell ref="AS31:BB31"/>
    <mergeCell ref="BD31:BH31"/>
    <mergeCell ref="C35:L35"/>
    <mergeCell ref="N35:T35"/>
    <mergeCell ref="W35:AF35"/>
    <mergeCell ref="AH35:AN35"/>
    <mergeCell ref="BL33:BU33"/>
    <mergeCell ref="BW33:CB33"/>
    <mergeCell ref="C34:L34"/>
    <mergeCell ref="N34:T34"/>
    <mergeCell ref="W34:AF34"/>
    <mergeCell ref="AH34:AN34"/>
    <mergeCell ref="AS34:BB34"/>
    <mergeCell ref="BD34:BH34"/>
    <mergeCell ref="BL34:BU34"/>
    <mergeCell ref="BW34:CB34"/>
    <mergeCell ref="BI32:BI53"/>
    <mergeCell ref="BJ32:BK37"/>
    <mergeCell ref="BL32:BU32"/>
    <mergeCell ref="BW32:CB32"/>
    <mergeCell ref="C33:L33"/>
    <mergeCell ref="N33:T33"/>
    <mergeCell ref="W33:AF33"/>
    <mergeCell ref="AH33:AN33"/>
    <mergeCell ref="AS33:BB33"/>
    <mergeCell ref="BD33:BH33"/>
    <mergeCell ref="AS35:BB35"/>
    <mergeCell ref="BD35:BH35"/>
    <mergeCell ref="BL35:BU35"/>
    <mergeCell ref="BW35:CB35"/>
    <mergeCell ref="B36:B42"/>
    <mergeCell ref="C36:L36"/>
    <mergeCell ref="N36:T36"/>
    <mergeCell ref="W36:AF36"/>
    <mergeCell ref="AH36:AN36"/>
    <mergeCell ref="AR36:AR47"/>
    <mergeCell ref="B31:B35"/>
    <mergeCell ref="AS36:BB36"/>
    <mergeCell ref="BD36:BH36"/>
    <mergeCell ref="BL36:BU36"/>
    <mergeCell ref="BW36:CB36"/>
    <mergeCell ref="C37:L37"/>
    <mergeCell ref="N37:T37"/>
    <mergeCell ref="W37:AF37"/>
    <mergeCell ref="AH37:AN37"/>
    <mergeCell ref="AS37:BB37"/>
    <mergeCell ref="BD37:BH37"/>
    <mergeCell ref="BL37:BU37"/>
    <mergeCell ref="BW37:CB37"/>
    <mergeCell ref="C38:L38"/>
    <mergeCell ref="N38:T38"/>
    <mergeCell ref="V38:V39"/>
    <mergeCell ref="W38:Y38"/>
    <mergeCell ref="AA38:AF38"/>
    <mergeCell ref="AG38:AI38"/>
    <mergeCell ref="AK38:AN38"/>
    <mergeCell ref="AS38:BB38"/>
    <mergeCell ref="BD38:BH38"/>
    <mergeCell ref="BJ38:BJ41"/>
    <mergeCell ref="BK38:BU38"/>
    <mergeCell ref="BW38:CB38"/>
    <mergeCell ref="C39:L39"/>
    <mergeCell ref="N39:T39"/>
    <mergeCell ref="W39:Y39"/>
    <mergeCell ref="AA39:AF39"/>
    <mergeCell ref="AG39:AI39"/>
    <mergeCell ref="AK39:AN39"/>
    <mergeCell ref="AS39:BB39"/>
    <mergeCell ref="BD39:BH39"/>
    <mergeCell ref="BK39:BU39"/>
    <mergeCell ref="BW39:CB39"/>
    <mergeCell ref="C40:L40"/>
    <mergeCell ref="N40:T40"/>
    <mergeCell ref="V40:AF40"/>
    <mergeCell ref="AH40:AN40"/>
    <mergeCell ref="AS40:BB40"/>
    <mergeCell ref="BD40:BH40"/>
    <mergeCell ref="BK40:BU40"/>
    <mergeCell ref="BW40:CB40"/>
    <mergeCell ref="C41:L41"/>
    <mergeCell ref="N41:T41"/>
    <mergeCell ref="V41:AF41"/>
    <mergeCell ref="AH41:AN41"/>
    <mergeCell ref="AS41:BB41"/>
    <mergeCell ref="BD41:BH41"/>
    <mergeCell ref="BK41:BU41"/>
    <mergeCell ref="BW41:CB41"/>
    <mergeCell ref="BJ42:BU42"/>
    <mergeCell ref="BW42:CB42"/>
    <mergeCell ref="B43:B47"/>
    <mergeCell ref="C43:L43"/>
    <mergeCell ref="N43:T43"/>
    <mergeCell ref="V43:AF43"/>
    <mergeCell ref="AH43:AN43"/>
    <mergeCell ref="AS43:BB43"/>
    <mergeCell ref="BD43:BH43"/>
    <mergeCell ref="BJ43:BU43"/>
    <mergeCell ref="C42:L42"/>
    <mergeCell ref="N42:T42"/>
    <mergeCell ref="V42:AF42"/>
    <mergeCell ref="AH42:AN42"/>
    <mergeCell ref="AS42:BB42"/>
    <mergeCell ref="BD42:BH42"/>
    <mergeCell ref="BW43:CB43"/>
    <mergeCell ref="C44:L44"/>
    <mergeCell ref="N44:T44"/>
    <mergeCell ref="V44:AF44"/>
    <mergeCell ref="AH44:AN44"/>
    <mergeCell ref="AS44:BB44"/>
    <mergeCell ref="BD44:BH44"/>
    <mergeCell ref="BJ44:BU44"/>
    <mergeCell ref="BW44:CB44"/>
    <mergeCell ref="BJ45:BU45"/>
    <mergeCell ref="BW45:CB45"/>
    <mergeCell ref="C46:L46"/>
    <mergeCell ref="N46:T46"/>
    <mergeCell ref="V46:AF46"/>
    <mergeCell ref="AH46:AN46"/>
    <mergeCell ref="AS46:BB46"/>
    <mergeCell ref="BD46:BH46"/>
    <mergeCell ref="BJ46:BU46"/>
    <mergeCell ref="BW46:CB46"/>
    <mergeCell ref="C45:L45"/>
    <mergeCell ref="N45:T45"/>
    <mergeCell ref="V45:AF45"/>
    <mergeCell ref="AH45:AN45"/>
    <mergeCell ref="AS45:BB45"/>
    <mergeCell ref="BD45:BH45"/>
    <mergeCell ref="BJ47:BU47"/>
    <mergeCell ref="BW47:CB47"/>
    <mergeCell ref="B48:D48"/>
    <mergeCell ref="F48:K48"/>
    <mergeCell ref="L48:N48"/>
    <mergeCell ref="P48:T48"/>
    <mergeCell ref="U48:X48"/>
    <mergeCell ref="Z48:AE48"/>
    <mergeCell ref="AF48:AH48"/>
    <mergeCell ref="AJ48:AN48"/>
    <mergeCell ref="C47:L47"/>
    <mergeCell ref="N47:T47"/>
    <mergeCell ref="V47:AF47"/>
    <mergeCell ref="AH47:AN47"/>
    <mergeCell ref="AS47:BB47"/>
    <mergeCell ref="BD47:BH47"/>
    <mergeCell ref="AR50:BB50"/>
    <mergeCell ref="BD50:BH50"/>
    <mergeCell ref="BJ50:BU50"/>
    <mergeCell ref="BW50:CB50"/>
    <mergeCell ref="AR51:BB51"/>
    <mergeCell ref="BD51:BH51"/>
    <mergeCell ref="BJ51:BU51"/>
    <mergeCell ref="BW51:CB51"/>
    <mergeCell ref="AR48:BB48"/>
    <mergeCell ref="BD48:BH48"/>
    <mergeCell ref="BJ48:BU48"/>
    <mergeCell ref="BW48:CB48"/>
    <mergeCell ref="AR49:BB49"/>
    <mergeCell ref="BD49:BH49"/>
    <mergeCell ref="BJ49:BU49"/>
    <mergeCell ref="BW49:CB49"/>
    <mergeCell ref="AR52:BB52"/>
    <mergeCell ref="BD52:BH52"/>
    <mergeCell ref="BJ52:BU52"/>
    <mergeCell ref="BW52:CB52"/>
    <mergeCell ref="I53:N54"/>
    <mergeCell ref="AG53:AM53"/>
    <mergeCell ref="AR53:BB53"/>
    <mergeCell ref="BD53:BH53"/>
    <mergeCell ref="BJ53:BU53"/>
    <mergeCell ref="BW53:CB53"/>
    <mergeCell ref="F58:N58"/>
    <mergeCell ref="AQ58:AW58"/>
    <mergeCell ref="BP58:CA58"/>
    <mergeCell ref="AQ59:AU59"/>
    <mergeCell ref="AR54:BB54"/>
    <mergeCell ref="BD54:BH54"/>
    <mergeCell ref="BI54:BS54"/>
    <mergeCell ref="BT54:BX54"/>
    <mergeCell ref="AA55:AN58"/>
    <mergeCell ref="AQ55:AU55"/>
    <mergeCell ref="BD55:BO55"/>
    <mergeCell ref="AQ56:AU56"/>
    <mergeCell ref="BV56:CA56"/>
    <mergeCell ref="AQ57:BA57"/>
  </mergeCells>
  <conditionalFormatting sqref="BD15:BH19 BD21:BH47 BD54:BH54 BD48:BD53 BW15:CB15 BW21:CB53">
    <cfRule type="cellIs" dxfId="6" priority="7" operator="lessThan">
      <formula>0</formula>
    </cfRule>
  </conditionalFormatting>
  <conditionalFormatting sqref="BD20:BH20">
    <cfRule type="cellIs" dxfId="5" priority="6" operator="lessThan">
      <formula>0</formula>
    </cfRule>
  </conditionalFormatting>
  <conditionalFormatting sqref="BW16:CB16">
    <cfRule type="cellIs" dxfId="4" priority="5" operator="lessThan">
      <formula>0</formula>
    </cfRule>
  </conditionalFormatting>
  <conditionalFormatting sqref="BW17:CB17">
    <cfRule type="cellIs" dxfId="3" priority="4" operator="lessThan">
      <formula>0</formula>
    </cfRule>
  </conditionalFormatting>
  <conditionalFormatting sqref="BW18:CB18">
    <cfRule type="cellIs" dxfId="2" priority="3" operator="lessThan">
      <formula>0</formula>
    </cfRule>
  </conditionalFormatting>
  <conditionalFormatting sqref="BW19:CB19">
    <cfRule type="cellIs" dxfId="1" priority="2" operator="lessThan">
      <formula>0</formula>
    </cfRule>
  </conditionalFormatting>
  <conditionalFormatting sqref="BW20:CB20">
    <cfRule type="cellIs" dxfId="0" priority="1" operator="lessThan">
      <formula>0</formula>
    </cfRule>
  </conditionalFormatting>
  <dataValidations count="3">
    <dataValidation allowBlank="1" showInputMessage="1" showErrorMessage="1" prompt="Digite este dato desde el anexo de datos generales, diligenciando el anexo de compensación de pérdidas ó directamente digitando el valor en esta celda" sqref="AI9:AN9" xr:uid="{4891AF8D-79E0-4689-9ED1-F708C1E8CB30}"/>
    <dataValidation allowBlank="1" showInputMessage="1" showErrorMessage="1" prompt="Registre en esta casilla el valor a pagar en la declaración por concepto_x000a_de impuesto, sanciones e intereses. Si presenta declaración virtual deje esta casilla en ceros." sqref="AG53:AM53" xr:uid="{6DF199B4-849F-4290-A541-BE52FE6A44FB}"/>
    <dataValidation allowBlank="1" showInputMessage="1" showErrorMessage="1" prompt="Digite directamente el año de  fracción de año gravable" sqref="AB9" xr:uid="{CD1662F7-1BDA-4445-8080-A122C540B769}"/>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9C115-9277-4EDA-BE1E-6A66EDD50219}">
  <dimension ref="B1:H31"/>
  <sheetViews>
    <sheetView showGridLines="0" topLeftCell="A10" zoomScale="170" zoomScaleNormal="170" workbookViewId="0">
      <selection activeCell="B27" sqref="B27:B31"/>
    </sheetView>
  </sheetViews>
  <sheetFormatPr baseColWidth="10" defaultRowHeight="12.75" x14ac:dyDescent="0.2"/>
  <cols>
    <col min="1" max="1" width="11.42578125" style="5"/>
    <col min="2" max="2" width="44.5703125" style="5" bestFit="1" customWidth="1"/>
    <col min="3" max="3" width="18.85546875" style="5" customWidth="1"/>
    <col min="4" max="4" width="15.85546875" style="5" customWidth="1"/>
    <col min="5" max="16384" width="11.42578125" style="5"/>
  </cols>
  <sheetData>
    <row r="1" spans="2:8" x14ac:dyDescent="0.2">
      <c r="B1" s="571" t="s">
        <v>345</v>
      </c>
      <c r="C1" s="571"/>
      <c r="D1" s="571"/>
      <c r="E1" s="6"/>
      <c r="F1" s="6"/>
      <c r="G1" s="6"/>
      <c r="H1" s="6"/>
    </row>
    <row r="3" spans="2:8" x14ac:dyDescent="0.2">
      <c r="B3" s="571" t="s">
        <v>305</v>
      </c>
      <c r="C3" s="571"/>
      <c r="D3" s="571"/>
    </row>
    <row r="4" spans="2:8" x14ac:dyDescent="0.2">
      <c r="B4" s="571" t="s">
        <v>306</v>
      </c>
      <c r="C4" s="571"/>
      <c r="D4" s="571"/>
    </row>
    <row r="5" spans="2:8" x14ac:dyDescent="0.2">
      <c r="B5" s="256"/>
      <c r="C5" s="256"/>
      <c r="D5" s="256"/>
    </row>
    <row r="6" spans="2:8" x14ac:dyDescent="0.2">
      <c r="B6" s="256" t="s">
        <v>307</v>
      </c>
      <c r="C6" s="256"/>
      <c r="D6" s="256"/>
    </row>
    <row r="7" spans="2:8" ht="51" x14ac:dyDescent="0.2">
      <c r="B7" s="242" t="s">
        <v>308</v>
      </c>
      <c r="C7" s="242" t="s">
        <v>341</v>
      </c>
      <c r="D7" s="242" t="s">
        <v>342</v>
      </c>
    </row>
    <row r="8" spans="2:8" x14ac:dyDescent="0.2">
      <c r="B8" s="257" t="s">
        <v>310</v>
      </c>
      <c r="C8" s="257">
        <v>6500000000</v>
      </c>
      <c r="D8" s="257">
        <f>+C8*20%</f>
        <v>1300000000</v>
      </c>
    </row>
    <row r="9" spans="2:8" x14ac:dyDescent="0.2">
      <c r="B9" s="257" t="s">
        <v>311</v>
      </c>
      <c r="C9" s="257">
        <v>321076000</v>
      </c>
      <c r="D9" s="257"/>
      <c r="E9" s="5" t="s">
        <v>344</v>
      </c>
    </row>
    <row r="10" spans="2:8" x14ac:dyDescent="0.2">
      <c r="B10" s="257" t="s">
        <v>312</v>
      </c>
      <c r="C10" s="257">
        <v>11432000</v>
      </c>
      <c r="D10" s="257">
        <f t="shared" ref="D10:D17" si="0">+C10*20%</f>
        <v>2286400</v>
      </c>
    </row>
    <row r="11" spans="2:8" x14ac:dyDescent="0.2">
      <c r="B11" s="257" t="s">
        <v>313</v>
      </c>
      <c r="C11" s="257">
        <v>3067980765</v>
      </c>
      <c r="D11" s="257">
        <f t="shared" si="0"/>
        <v>613596153</v>
      </c>
    </row>
    <row r="12" spans="2:8" x14ac:dyDescent="0.2">
      <c r="B12" s="257" t="s">
        <v>314</v>
      </c>
      <c r="C12" s="257">
        <f>+C8*0.6%*12</f>
        <v>468000000</v>
      </c>
      <c r="D12" s="257">
        <f t="shared" si="0"/>
        <v>93600000</v>
      </c>
      <c r="E12" s="302" t="s">
        <v>727</v>
      </c>
    </row>
    <row r="13" spans="2:8" x14ac:dyDescent="0.2">
      <c r="B13" s="257" t="s">
        <v>315</v>
      </c>
      <c r="C13" s="257">
        <v>69432980</v>
      </c>
      <c r="D13" s="257">
        <f t="shared" si="0"/>
        <v>13886596</v>
      </c>
      <c r="E13" s="302" t="s">
        <v>728</v>
      </c>
    </row>
    <row r="14" spans="2:8" x14ac:dyDescent="0.2">
      <c r="B14" s="257" t="s">
        <v>316</v>
      </c>
      <c r="C14" s="257">
        <v>10245000</v>
      </c>
      <c r="D14" s="257">
        <f t="shared" si="0"/>
        <v>2049000</v>
      </c>
      <c r="E14" s="302" t="s">
        <v>728</v>
      </c>
    </row>
    <row r="15" spans="2:8" x14ac:dyDescent="0.2">
      <c r="B15" s="257" t="s">
        <v>317</v>
      </c>
      <c r="C15" s="257">
        <v>8543000</v>
      </c>
      <c r="D15" s="257">
        <f t="shared" si="0"/>
        <v>1708600</v>
      </c>
      <c r="E15" s="302" t="s">
        <v>728</v>
      </c>
    </row>
    <row r="16" spans="2:8" x14ac:dyDescent="0.2">
      <c r="B16" s="257" t="s">
        <v>318</v>
      </c>
      <c r="C16" s="257">
        <f>+C11*0.12</f>
        <v>368157691.80000001</v>
      </c>
      <c r="D16" s="257">
        <f t="shared" si="0"/>
        <v>73631538.359999999</v>
      </c>
      <c r="E16" s="302" t="s">
        <v>728</v>
      </c>
    </row>
    <row r="17" spans="2:5" x14ac:dyDescent="0.2">
      <c r="B17" s="257" t="s">
        <v>319</v>
      </c>
      <c r="C17" s="257">
        <f>125000*12</f>
        <v>1500000</v>
      </c>
      <c r="D17" s="257">
        <f t="shared" si="0"/>
        <v>300000</v>
      </c>
      <c r="E17" s="302" t="s">
        <v>728</v>
      </c>
    </row>
    <row r="18" spans="2:5" x14ac:dyDescent="0.2">
      <c r="B18" s="257" t="s">
        <v>320</v>
      </c>
      <c r="C18" s="257">
        <f>+C12*0.004</f>
        <v>1872000</v>
      </c>
      <c r="D18" s="257">
        <f>+C18*20%*50%</f>
        <v>187200</v>
      </c>
      <c r="E18" s="5" t="s">
        <v>343</v>
      </c>
    </row>
    <row r="19" spans="2:5" x14ac:dyDescent="0.2">
      <c r="B19" s="357" t="s">
        <v>4</v>
      </c>
      <c r="C19" s="357">
        <f>+C8+C9+C10-C11+C12-C13-C14-C15-C16-C17-C18</f>
        <v>3772776563.1999998</v>
      </c>
      <c r="D19" s="357">
        <f>+D8+D9+D10-D11+D12-D13-D14-D15-D16-D17-D18</f>
        <v>690527312.63999999</v>
      </c>
    </row>
    <row r="27" spans="2:5" x14ac:dyDescent="0.2">
      <c r="B27" s="302"/>
    </row>
    <row r="29" spans="2:5" x14ac:dyDescent="0.2">
      <c r="B29" s="302"/>
    </row>
    <row r="30" spans="2:5" x14ac:dyDescent="0.2">
      <c r="B30" s="302"/>
    </row>
    <row r="31" spans="2:5" x14ac:dyDescent="0.2">
      <c r="B31" s="302"/>
    </row>
  </sheetData>
  <mergeCells count="3">
    <mergeCell ref="B1:D1"/>
    <mergeCell ref="B3:D3"/>
    <mergeCell ref="B4: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B0B3D-311D-4176-83D8-F578858278A1}">
  <dimension ref="A1:G22"/>
  <sheetViews>
    <sheetView showGridLines="0" topLeftCell="A27" zoomScale="170" zoomScaleNormal="170" workbookViewId="0">
      <selection activeCell="D7" sqref="D7"/>
    </sheetView>
  </sheetViews>
  <sheetFormatPr baseColWidth="10" defaultColWidth="11.5703125" defaultRowHeight="12.75" x14ac:dyDescent="0.2"/>
  <cols>
    <col min="1" max="1" width="33.28515625" style="5" customWidth="1"/>
    <col min="2" max="2" width="15.28515625" style="5" customWidth="1"/>
    <col min="3" max="3" width="13.5703125" style="5" customWidth="1"/>
    <col min="4" max="6" width="13.85546875" style="5" customWidth="1"/>
    <col min="7" max="7" width="13.140625" style="5" customWidth="1"/>
    <col min="8" max="16384" width="11.5703125" style="5"/>
  </cols>
  <sheetData>
    <row r="1" spans="1:7" x14ac:dyDescent="0.2">
      <c r="A1" s="587" t="s">
        <v>346</v>
      </c>
      <c r="B1" s="571"/>
      <c r="C1" s="571"/>
      <c r="D1" s="571"/>
      <c r="E1" s="571"/>
      <c r="F1" s="571"/>
      <c r="G1" s="588"/>
    </row>
    <row r="2" spans="1:7" x14ac:dyDescent="0.2">
      <c r="A2" s="244"/>
      <c r="B2" s="243"/>
      <c r="C2" s="243"/>
      <c r="D2" s="243"/>
      <c r="E2" s="243"/>
      <c r="F2" s="243"/>
      <c r="G2" s="245"/>
    </row>
    <row r="3" spans="1:7" x14ac:dyDescent="0.2">
      <c r="A3" s="244"/>
      <c r="B3" s="243"/>
      <c r="C3" s="243"/>
      <c r="D3" s="243"/>
      <c r="E3" s="243"/>
      <c r="F3" s="243"/>
      <c r="G3" s="245"/>
    </row>
    <row r="4" spans="1:7" ht="51.75" customHeight="1" x14ac:dyDescent="0.2">
      <c r="A4" s="289" t="s">
        <v>361</v>
      </c>
      <c r="B4" s="289" t="s">
        <v>362</v>
      </c>
      <c r="C4" s="289" t="s">
        <v>12</v>
      </c>
      <c r="D4" s="289" t="s">
        <v>347</v>
      </c>
      <c r="E4" s="289" t="s">
        <v>12</v>
      </c>
      <c r="F4" s="289" t="s">
        <v>360</v>
      </c>
      <c r="G4" s="245"/>
    </row>
    <row r="5" spans="1:7" x14ac:dyDescent="0.2">
      <c r="A5" s="260" t="s">
        <v>729</v>
      </c>
      <c r="B5" s="261"/>
      <c r="C5" s="262">
        <v>0</v>
      </c>
      <c r="D5" s="260">
        <f>+B5*C5</f>
        <v>0</v>
      </c>
      <c r="E5" s="262">
        <v>0</v>
      </c>
      <c r="F5" s="260">
        <f>+B5*E5</f>
        <v>0</v>
      </c>
      <c r="G5" s="245"/>
    </row>
    <row r="6" spans="1:7" x14ac:dyDescent="0.2">
      <c r="A6" s="260" t="s">
        <v>348</v>
      </c>
      <c r="B6" s="261">
        <v>111234000</v>
      </c>
      <c r="C6" s="262">
        <v>0.05</v>
      </c>
      <c r="D6" s="260">
        <f>+B6*C6</f>
        <v>5561700</v>
      </c>
      <c r="E6" s="262">
        <v>0</v>
      </c>
      <c r="F6" s="260">
        <f>+B6*E6</f>
        <v>0</v>
      </c>
      <c r="G6" s="245"/>
    </row>
    <row r="7" spans="1:7" x14ac:dyDescent="0.2">
      <c r="A7" s="260" t="s">
        <v>349</v>
      </c>
      <c r="B7" s="261">
        <v>216543000</v>
      </c>
      <c r="C7" s="262">
        <v>0.1</v>
      </c>
      <c r="D7" s="260">
        <f t="shared" ref="D7:D11" si="0">+B7*C7</f>
        <v>21654300</v>
      </c>
      <c r="E7" s="262">
        <v>0</v>
      </c>
      <c r="F7" s="260">
        <f t="shared" ref="F7:F11" si="1">+B7*E7</f>
        <v>0</v>
      </c>
      <c r="G7" s="245"/>
    </row>
    <row r="8" spans="1:7" x14ac:dyDescent="0.2">
      <c r="A8" s="260" t="s">
        <v>350</v>
      </c>
      <c r="B8" s="261">
        <v>12987000</v>
      </c>
      <c r="C8" s="262">
        <v>0.15</v>
      </c>
      <c r="D8" s="260">
        <f t="shared" si="0"/>
        <v>1948050</v>
      </c>
      <c r="E8" s="262">
        <v>0.33</v>
      </c>
      <c r="F8" s="260">
        <f t="shared" si="1"/>
        <v>4285710</v>
      </c>
      <c r="G8" s="245"/>
    </row>
    <row r="9" spans="1:7" x14ac:dyDescent="0.2">
      <c r="A9" s="260" t="s">
        <v>351</v>
      </c>
      <c r="B9" s="261">
        <v>11432000</v>
      </c>
      <c r="C9" s="262">
        <v>0.15</v>
      </c>
      <c r="D9" s="260">
        <f t="shared" si="0"/>
        <v>1714800</v>
      </c>
      <c r="E9" s="262">
        <v>0.66</v>
      </c>
      <c r="F9" s="260">
        <f t="shared" si="1"/>
        <v>7545120</v>
      </c>
      <c r="G9" s="245"/>
    </row>
    <row r="10" spans="1:7" x14ac:dyDescent="0.2">
      <c r="A10" s="260" t="s">
        <v>352</v>
      </c>
      <c r="B10" s="261">
        <v>15432000</v>
      </c>
      <c r="C10" s="262">
        <v>0.15</v>
      </c>
      <c r="D10" s="260">
        <f t="shared" si="0"/>
        <v>2314800</v>
      </c>
      <c r="E10" s="262">
        <v>1</v>
      </c>
      <c r="F10" s="260">
        <f t="shared" si="1"/>
        <v>15432000</v>
      </c>
      <c r="G10" s="245"/>
    </row>
    <row r="11" spans="1:7" x14ac:dyDescent="0.2">
      <c r="A11" s="260" t="s">
        <v>353</v>
      </c>
      <c r="B11" s="261">
        <v>590987000</v>
      </c>
      <c r="C11" s="262">
        <v>0</v>
      </c>
      <c r="D11" s="260">
        <f t="shared" si="0"/>
        <v>0</v>
      </c>
      <c r="E11" s="262">
        <v>0</v>
      </c>
      <c r="F11" s="260">
        <f t="shared" si="1"/>
        <v>0</v>
      </c>
      <c r="G11" s="245"/>
    </row>
    <row r="12" spans="1:7" x14ac:dyDescent="0.2">
      <c r="A12" s="263" t="s">
        <v>309</v>
      </c>
      <c r="B12" s="263">
        <f>SUM(B6:B11)</f>
        <v>958615000</v>
      </c>
      <c r="C12" s="263"/>
      <c r="D12" s="263">
        <f>SUM(D6:D11)</f>
        <v>33193650</v>
      </c>
      <c r="E12" s="263"/>
      <c r="F12" s="263">
        <f>SUM(F6:F11)</f>
        <v>27262830</v>
      </c>
      <c r="G12" s="245"/>
    </row>
    <row r="13" spans="1:7" x14ac:dyDescent="0.2">
      <c r="A13" s="205"/>
      <c r="B13" s="205"/>
      <c r="C13" s="205"/>
      <c r="D13" s="3"/>
      <c r="E13" s="3"/>
      <c r="F13" s="205"/>
      <c r="G13" s="245"/>
    </row>
    <row r="14" spans="1:7" ht="27" customHeight="1" x14ac:dyDescent="0.2">
      <c r="A14" s="264" t="s">
        <v>354</v>
      </c>
      <c r="B14" s="261"/>
      <c r="C14" s="265"/>
      <c r="D14" s="266">
        <f>+B14</f>
        <v>0</v>
      </c>
      <c r="E14" s="16"/>
      <c r="F14" s="215">
        <v>13962830</v>
      </c>
    </row>
    <row r="15" spans="1:7" ht="25.5" x14ac:dyDescent="0.2">
      <c r="A15" s="264" t="s">
        <v>355</v>
      </c>
      <c r="B15" s="267"/>
      <c r="C15" s="268"/>
      <c r="D15" s="266">
        <f>+B15</f>
        <v>0</v>
      </c>
      <c r="E15" s="16"/>
      <c r="F15" s="215">
        <v>0</v>
      </c>
    </row>
    <row r="16" spans="1:7" ht="25.5" x14ac:dyDescent="0.2">
      <c r="A16" s="269" t="s">
        <v>356</v>
      </c>
      <c r="B16" s="270">
        <v>0</v>
      </c>
      <c r="C16" s="271"/>
      <c r="D16" s="272">
        <v>0</v>
      </c>
      <c r="E16" s="273"/>
      <c r="F16" s="274">
        <v>0</v>
      </c>
    </row>
    <row r="17" spans="1:6" x14ac:dyDescent="0.2">
      <c r="A17" s="205"/>
      <c r="B17" s="205"/>
      <c r="C17" s="205"/>
      <c r="D17" s="205"/>
      <c r="E17" s="205"/>
      <c r="F17" s="205"/>
    </row>
    <row r="18" spans="1:6" x14ac:dyDescent="0.2">
      <c r="A18" s="581" t="s">
        <v>357</v>
      </c>
      <c r="B18" s="582"/>
      <c r="C18" s="275"/>
      <c r="D18" s="276"/>
      <c r="E18" s="277"/>
      <c r="F18" s="278">
        <f>+IF((F12-F14)&gt;0,(F12-F14),0)</f>
        <v>13300000</v>
      </c>
    </row>
    <row r="19" spans="1:6" x14ac:dyDescent="0.2">
      <c r="A19" s="583" t="s">
        <v>358</v>
      </c>
      <c r="B19" s="584"/>
      <c r="C19" s="279"/>
      <c r="D19" s="280"/>
      <c r="E19" s="281"/>
      <c r="F19" s="282">
        <f>+IF((F12-F14+F15)&lt;0,(F12-F14+F15),0)</f>
        <v>0</v>
      </c>
    </row>
    <row r="20" spans="1:6" x14ac:dyDescent="0.2">
      <c r="A20" s="585" t="s">
        <v>359</v>
      </c>
      <c r="B20" s="586"/>
      <c r="C20" s="283"/>
      <c r="D20" s="284"/>
      <c r="E20" s="285"/>
      <c r="F20" s="286">
        <f>+F12</f>
        <v>27262830</v>
      </c>
    </row>
    <row r="21" spans="1:6" x14ac:dyDescent="0.2">
      <c r="A21" s="287"/>
      <c r="B21" s="287"/>
      <c r="C21" s="287"/>
      <c r="D21" s="287"/>
      <c r="E21" s="287"/>
      <c r="F21" s="287"/>
    </row>
    <row r="22" spans="1:6" x14ac:dyDescent="0.2">
      <c r="E22" s="287"/>
      <c r="F22" s="287"/>
    </row>
  </sheetData>
  <mergeCells count="4">
    <mergeCell ref="A18:B18"/>
    <mergeCell ref="A19:B19"/>
    <mergeCell ref="A20:B20"/>
    <mergeCell ref="A1:G1"/>
  </mergeCells>
  <dataValidations count="4">
    <dataValidation allowBlank="1" showInputMessage="1" showErrorMessage="1" prompt="Digite el valor contable del saldo de la cartera de acuerdo al rango de edades." sqref="B6:C11" xr:uid="{44CA5E3E-79C3-4DA6-B8C2-5C192EDC4719}"/>
    <dataValidation type="whole" allowBlank="1" showInputMessage="1" showErrorMessage="1" error="Digite valores positivos sin decimales_x000a_" prompt="Digite el saldo fiscal del deterioro de cartera declarada en  el año gravable anterior.  (Cuenta del activo), si no viene declarando saldo fiscal digite cero (0)_x000a__x000a_" sqref="B14:C14" xr:uid="{5AF9B939-646A-419F-8AED-273793FF7D1F}">
      <formula1>0</formula1>
      <formula2>9.99999999999999E+26</formula2>
    </dataValidation>
    <dataValidation type="whole" allowBlank="1" showInputMessage="1" showErrorMessage="1" error="Digite valores positivos sin decimales_x000a_" prompt="Digite el valor de la deducción  por deudas manifiestamente perdidas o sin valor. (Recomendamos ver artículo 146 del ET) y nuestro manual" sqref="C15" xr:uid="{86EEFC2E-1C86-4FA1-BF2D-F18D7AC19106}">
      <formula1>0</formula1>
      <formula2>9.99999999999999E+23</formula2>
    </dataValidation>
    <dataValidation type="whole" allowBlank="1" showInputMessage="1" showErrorMessage="1" error="Digite valores positivos sin decimales_x000a_" prompt="Digite en esta celda el valor que se castiga durante el año al gasto o costo desde la cuenta de cartera, como también el cruce durante el año de la cuenta de deterioro contra  la cuenta de cartera. (Lógicamente cumpliendo art. 146 del ET)." sqref="B15" xr:uid="{10DE7A0F-DBF5-4566-A0E7-DF46C5185138}">
      <formula1>0</formula1>
      <formula2>9.99999999999999E+23</formula2>
    </dataValidation>
  </dataValidations>
  <pageMargins left="0.75" right="0.75" top="1" bottom="1" header="0" footer="0"/>
  <pageSetup scale="85" orientation="landscape" horizontalDpi="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9"/>
  <sheetViews>
    <sheetView showGridLines="0" topLeftCell="B34" zoomScale="145" zoomScaleNormal="145" workbookViewId="0">
      <selection activeCell="G17" sqref="G17:G20"/>
    </sheetView>
  </sheetViews>
  <sheetFormatPr baseColWidth="10" defaultColWidth="11.5703125" defaultRowHeight="12.75" x14ac:dyDescent="0.2"/>
  <cols>
    <col min="1" max="1" width="39.85546875" style="5" customWidth="1"/>
    <col min="2" max="2" width="15.28515625" style="5" customWidth="1"/>
    <col min="3" max="3" width="13.5703125" style="5" customWidth="1"/>
    <col min="4" max="6" width="13.85546875" style="5" customWidth="1"/>
    <col min="7" max="7" width="14.28515625" style="5" customWidth="1"/>
    <col min="8" max="16384" width="11.5703125" style="5"/>
  </cols>
  <sheetData>
    <row r="1" spans="1:9" x14ac:dyDescent="0.2">
      <c r="A1" s="587" t="s">
        <v>730</v>
      </c>
      <c r="B1" s="571"/>
      <c r="C1" s="571"/>
      <c r="D1" s="571"/>
      <c r="E1" s="571"/>
      <c r="F1" s="571"/>
      <c r="G1" s="588"/>
    </row>
    <row r="2" spans="1:9" x14ac:dyDescent="0.2">
      <c r="A2" s="244"/>
      <c r="B2" s="243"/>
      <c r="C2" s="243"/>
      <c r="D2" s="243"/>
      <c r="E2" s="243"/>
      <c r="F2" s="243"/>
      <c r="G2" s="245"/>
    </row>
    <row r="3" spans="1:9" ht="12.75" customHeight="1" x14ac:dyDescent="0.2">
      <c r="A3" s="572" t="s">
        <v>67</v>
      </c>
      <c r="B3" s="572" t="s">
        <v>66</v>
      </c>
      <c r="C3" s="572" t="s">
        <v>68</v>
      </c>
      <c r="D3" s="572" t="s">
        <v>69</v>
      </c>
      <c r="E3" s="572" t="s">
        <v>70</v>
      </c>
      <c r="F3" s="572" t="s">
        <v>71</v>
      </c>
      <c r="G3" s="572" t="s">
        <v>76</v>
      </c>
    </row>
    <row r="4" spans="1:9" x14ac:dyDescent="0.2">
      <c r="A4" s="572"/>
      <c r="B4" s="572"/>
      <c r="C4" s="572"/>
      <c r="D4" s="572"/>
      <c r="E4" s="572"/>
      <c r="F4" s="572"/>
      <c r="G4" s="572"/>
    </row>
    <row r="5" spans="1:9" x14ac:dyDescent="0.2">
      <c r="A5" s="572"/>
      <c r="B5" s="572"/>
      <c r="C5" s="572"/>
      <c r="D5" s="572"/>
      <c r="E5" s="572"/>
      <c r="F5" s="572"/>
      <c r="G5" s="572"/>
    </row>
    <row r="6" spans="1:9" x14ac:dyDescent="0.2">
      <c r="A6" s="11" t="s">
        <v>368</v>
      </c>
      <c r="B6" s="4">
        <v>900151216</v>
      </c>
      <c r="C6" s="21">
        <v>42160</v>
      </c>
      <c r="D6" s="11" t="s">
        <v>221</v>
      </c>
      <c r="E6" s="11"/>
      <c r="F6" s="11"/>
      <c r="G6" s="4">
        <f>+D45</f>
        <v>595000000</v>
      </c>
    </row>
    <row r="7" spans="1:9" x14ac:dyDescent="0.2">
      <c r="A7" s="15" t="s">
        <v>135</v>
      </c>
      <c r="B7" s="15"/>
      <c r="C7" s="15"/>
      <c r="D7" s="15"/>
      <c r="E7" s="15"/>
      <c r="F7" s="15"/>
      <c r="G7" s="18">
        <f>SUM(G6:G6)</f>
        <v>595000000</v>
      </c>
    </row>
    <row r="8" spans="1:9" x14ac:dyDescent="0.2">
      <c r="A8" s="9"/>
      <c r="B8" s="9"/>
    </row>
    <row r="11" spans="1:9" ht="33" customHeight="1" x14ac:dyDescent="0.2">
      <c r="A11" s="592" t="s">
        <v>707</v>
      </c>
      <c r="B11" s="593"/>
      <c r="C11" s="593"/>
      <c r="D11" s="593"/>
      <c r="E11" s="593"/>
      <c r="F11" s="159"/>
    </row>
    <row r="13" spans="1:9" x14ac:dyDescent="0.2">
      <c r="A13"/>
      <c r="B13" s="6" t="s">
        <v>369</v>
      </c>
      <c r="C13" s="6"/>
      <c r="D13" s="6"/>
      <c r="E13" s="290">
        <v>3.2099999999999997E-2</v>
      </c>
      <c r="F13"/>
      <c r="G13" s="291">
        <f>SUM(G16:G45)</f>
        <v>16704312.328767123</v>
      </c>
      <c r="H13"/>
      <c r="I13" s="292">
        <v>44926</v>
      </c>
    </row>
    <row r="14" spans="1:9" x14ac:dyDescent="0.2">
      <c r="A14"/>
      <c r="B14"/>
      <c r="C14"/>
      <c r="D14"/>
      <c r="E14"/>
      <c r="F14"/>
      <c r="G14"/>
      <c r="H14"/>
      <c r="I14"/>
    </row>
    <row r="15" spans="1:9" ht="25.5" x14ac:dyDescent="0.2">
      <c r="A15" s="293" t="s">
        <v>363</v>
      </c>
      <c r="B15" s="293" t="s">
        <v>370</v>
      </c>
      <c r="C15" s="293" t="s">
        <v>364</v>
      </c>
      <c r="D15" s="293" t="s">
        <v>222</v>
      </c>
      <c r="E15" s="293" t="s">
        <v>365</v>
      </c>
      <c r="F15" s="293" t="s">
        <v>366</v>
      </c>
      <c r="G15" s="294" t="s">
        <v>223</v>
      </c>
      <c r="H15"/>
      <c r="I15"/>
    </row>
    <row r="16" spans="1:9" x14ac:dyDescent="0.2">
      <c r="A16" s="589" t="s">
        <v>363</v>
      </c>
      <c r="B16" s="295"/>
      <c r="C16" s="295"/>
      <c r="D16" s="295">
        <v>355000000</v>
      </c>
      <c r="E16" s="569">
        <v>44562</v>
      </c>
      <c r="F16" s="266">
        <f>IF(E16="","",IF(E17="",$I$13-E16,E17-E16))</f>
        <v>20</v>
      </c>
      <c r="G16" s="296">
        <f>IF(F16="","",((F16*$E$13*D16)/365))</f>
        <v>624410.95890410955</v>
      </c>
      <c r="H16"/>
      <c r="I16"/>
    </row>
    <row r="17" spans="1:9" x14ac:dyDescent="0.2">
      <c r="A17" s="590"/>
      <c r="B17" s="297"/>
      <c r="C17" s="297">
        <v>15000000</v>
      </c>
      <c r="D17" s="295">
        <f t="shared" ref="D17:D45" si="0">+D16+B17-C17</f>
        <v>340000000</v>
      </c>
      <c r="E17" s="298">
        <v>44582</v>
      </c>
      <c r="F17" s="266">
        <f>IF(E17="","",IF(E18="",$I$13-E17,E18-E17))</f>
        <v>61</v>
      </c>
      <c r="G17" s="296">
        <f>IF(F17="","",((F17*$E$13*D17)/365))</f>
        <v>1823983.5616438354</v>
      </c>
      <c r="H17"/>
      <c r="I17"/>
    </row>
    <row r="18" spans="1:9" x14ac:dyDescent="0.2">
      <c r="A18" s="590"/>
      <c r="B18" s="297">
        <v>120000000</v>
      </c>
      <c r="C18" s="297"/>
      <c r="D18" s="295">
        <f t="shared" si="0"/>
        <v>460000000</v>
      </c>
      <c r="E18" s="298">
        <v>44643</v>
      </c>
      <c r="F18" s="266">
        <f>IF(E18="","",IF(E19="",$I$13-E18,E19-E18))</f>
        <v>124</v>
      </c>
      <c r="G18" s="296">
        <f>IF(F18="","",((F18*$E$13*D18)/365))</f>
        <v>5016394.5205479441</v>
      </c>
      <c r="H18"/>
      <c r="I18"/>
    </row>
    <row r="19" spans="1:9" x14ac:dyDescent="0.2">
      <c r="A19" s="590"/>
      <c r="B19" s="297">
        <v>220000000</v>
      </c>
      <c r="C19" s="297"/>
      <c r="D19" s="295">
        <f t="shared" si="0"/>
        <v>680000000</v>
      </c>
      <c r="E19" s="298">
        <v>44767</v>
      </c>
      <c r="F19" s="266">
        <f>IF(E19="","",IF(E20="",$I$13-E19,E20-E19))</f>
        <v>123</v>
      </c>
      <c r="G19" s="296">
        <f>IF(F19="","",((F19*$E$13*D19)/365))</f>
        <v>7355736.98630137</v>
      </c>
      <c r="H19"/>
      <c r="I19"/>
    </row>
    <row r="20" spans="1:9" x14ac:dyDescent="0.2">
      <c r="A20" s="590"/>
      <c r="B20" s="297">
        <v>0</v>
      </c>
      <c r="C20" s="297">
        <v>85000000</v>
      </c>
      <c r="D20" s="295">
        <f t="shared" si="0"/>
        <v>595000000</v>
      </c>
      <c r="E20" s="298">
        <v>44890</v>
      </c>
      <c r="F20" s="266">
        <f>IF(E20="","",IF(E21="",$I$13-E20,E21-E20))</f>
        <v>36</v>
      </c>
      <c r="G20" s="296">
        <f>IF(F20="","",((F20*$E$13*D20)/365))</f>
        <v>1883786.3013698631</v>
      </c>
      <c r="H20"/>
      <c r="I20"/>
    </row>
    <row r="21" spans="1:9" x14ac:dyDescent="0.2">
      <c r="A21" s="590"/>
      <c r="B21" s="297"/>
      <c r="C21" s="297"/>
      <c r="D21" s="295">
        <f t="shared" si="0"/>
        <v>595000000</v>
      </c>
      <c r="E21" s="298"/>
      <c r="F21" s="266" t="str">
        <f t="shared" ref="F21:F45" si="1">IF(E21="","",IF(E22="",$I$13-E21,E22-E21))</f>
        <v/>
      </c>
      <c r="G21" s="296" t="str">
        <f t="shared" ref="G21:G45" si="2">IF(F21="","",((F21*$E$13*D21)/365))</f>
        <v/>
      </c>
      <c r="H21"/>
      <c r="I21"/>
    </row>
    <row r="22" spans="1:9" x14ac:dyDescent="0.2">
      <c r="A22" s="590"/>
      <c r="B22" s="297"/>
      <c r="C22" s="297"/>
      <c r="D22" s="295">
        <f t="shared" si="0"/>
        <v>595000000</v>
      </c>
      <c r="E22" s="298"/>
      <c r="F22" s="266" t="str">
        <f t="shared" si="1"/>
        <v/>
      </c>
      <c r="G22" s="296" t="str">
        <f t="shared" si="2"/>
        <v/>
      </c>
      <c r="H22"/>
      <c r="I22"/>
    </row>
    <row r="23" spans="1:9" x14ac:dyDescent="0.2">
      <c r="A23" s="590"/>
      <c r="B23" s="297"/>
      <c r="C23" s="297"/>
      <c r="D23" s="295">
        <f t="shared" si="0"/>
        <v>595000000</v>
      </c>
      <c r="E23" s="298"/>
      <c r="F23" s="266" t="str">
        <f t="shared" si="1"/>
        <v/>
      </c>
      <c r="G23" s="296" t="str">
        <f t="shared" si="2"/>
        <v/>
      </c>
      <c r="H23"/>
      <c r="I23"/>
    </row>
    <row r="24" spans="1:9" x14ac:dyDescent="0.2">
      <c r="A24" s="590"/>
      <c r="B24" s="297"/>
      <c r="C24" s="297"/>
      <c r="D24" s="295">
        <f t="shared" si="0"/>
        <v>595000000</v>
      </c>
      <c r="E24" s="298"/>
      <c r="F24" s="266" t="str">
        <f t="shared" si="1"/>
        <v/>
      </c>
      <c r="G24" s="296" t="str">
        <f t="shared" si="2"/>
        <v/>
      </c>
      <c r="H24"/>
      <c r="I24"/>
    </row>
    <row r="25" spans="1:9" x14ac:dyDescent="0.2">
      <c r="A25" s="590"/>
      <c r="B25" s="297"/>
      <c r="C25" s="297"/>
      <c r="D25" s="295">
        <f t="shared" si="0"/>
        <v>595000000</v>
      </c>
      <c r="E25" s="298"/>
      <c r="F25" s="266" t="str">
        <f t="shared" si="1"/>
        <v/>
      </c>
      <c r="G25" s="296" t="str">
        <f t="shared" si="2"/>
        <v/>
      </c>
      <c r="H25"/>
      <c r="I25"/>
    </row>
    <row r="26" spans="1:9" x14ac:dyDescent="0.2">
      <c r="A26" s="590"/>
      <c r="B26" s="297"/>
      <c r="C26" s="297"/>
      <c r="D26" s="295">
        <f t="shared" si="0"/>
        <v>595000000</v>
      </c>
      <c r="E26" s="298"/>
      <c r="F26" s="266" t="str">
        <f t="shared" si="1"/>
        <v/>
      </c>
      <c r="G26" s="296" t="str">
        <f t="shared" si="2"/>
        <v/>
      </c>
      <c r="H26"/>
      <c r="I26"/>
    </row>
    <row r="27" spans="1:9" x14ac:dyDescent="0.2">
      <c r="A27" s="590"/>
      <c r="B27" s="297"/>
      <c r="C27" s="297"/>
      <c r="D27" s="295">
        <f t="shared" si="0"/>
        <v>595000000</v>
      </c>
      <c r="E27" s="298"/>
      <c r="F27" s="266" t="str">
        <f t="shared" si="1"/>
        <v/>
      </c>
      <c r="G27" s="296" t="str">
        <f t="shared" si="2"/>
        <v/>
      </c>
      <c r="H27"/>
      <c r="I27"/>
    </row>
    <row r="28" spans="1:9" x14ac:dyDescent="0.2">
      <c r="A28" s="590"/>
      <c r="B28" s="297"/>
      <c r="C28" s="297"/>
      <c r="D28" s="295">
        <f t="shared" si="0"/>
        <v>595000000</v>
      </c>
      <c r="E28" s="298"/>
      <c r="F28" s="266" t="str">
        <f t="shared" si="1"/>
        <v/>
      </c>
      <c r="G28" s="296" t="str">
        <f t="shared" si="2"/>
        <v/>
      </c>
      <c r="H28"/>
      <c r="I28" t="s">
        <v>367</v>
      </c>
    </row>
    <row r="29" spans="1:9" x14ac:dyDescent="0.2">
      <c r="A29" s="590"/>
      <c r="B29" s="297"/>
      <c r="C29" s="297"/>
      <c r="D29" s="295">
        <f t="shared" si="0"/>
        <v>595000000</v>
      </c>
      <c r="E29" s="298"/>
      <c r="F29" s="266" t="str">
        <f t="shared" si="1"/>
        <v/>
      </c>
      <c r="G29" s="296" t="str">
        <f t="shared" si="2"/>
        <v/>
      </c>
      <c r="H29"/>
      <c r="I29" s="48"/>
    </row>
    <row r="30" spans="1:9" x14ac:dyDescent="0.2">
      <c r="A30" s="590"/>
      <c r="B30" s="297"/>
      <c r="C30" s="297"/>
      <c r="D30" s="295">
        <f t="shared" si="0"/>
        <v>595000000</v>
      </c>
      <c r="E30" s="298"/>
      <c r="F30" s="266" t="str">
        <f t="shared" si="1"/>
        <v/>
      </c>
      <c r="G30" s="296" t="str">
        <f t="shared" si="2"/>
        <v/>
      </c>
      <c r="H30"/>
      <c r="I30"/>
    </row>
    <row r="31" spans="1:9" x14ac:dyDescent="0.2">
      <c r="A31" s="590"/>
      <c r="B31" s="297"/>
      <c r="C31" s="297"/>
      <c r="D31" s="295">
        <f t="shared" si="0"/>
        <v>595000000</v>
      </c>
      <c r="E31" s="298"/>
      <c r="F31" s="266" t="str">
        <f t="shared" si="1"/>
        <v/>
      </c>
      <c r="G31" s="296" t="str">
        <f t="shared" si="2"/>
        <v/>
      </c>
      <c r="H31"/>
      <c r="I31" s="47"/>
    </row>
    <row r="32" spans="1:9" x14ac:dyDescent="0.2">
      <c r="A32" s="590"/>
      <c r="B32" s="297"/>
      <c r="C32" s="297"/>
      <c r="D32" s="295">
        <f t="shared" si="0"/>
        <v>595000000</v>
      </c>
      <c r="E32" s="298"/>
      <c r="F32" s="266" t="str">
        <f t="shared" si="1"/>
        <v/>
      </c>
      <c r="G32" s="296" t="str">
        <f t="shared" si="2"/>
        <v/>
      </c>
      <c r="H32"/>
      <c r="I32"/>
    </row>
    <row r="33" spans="1:9" x14ac:dyDescent="0.2">
      <c r="A33" s="590"/>
      <c r="B33" s="297"/>
      <c r="C33" s="297"/>
      <c r="D33" s="295">
        <f t="shared" si="0"/>
        <v>595000000</v>
      </c>
      <c r="E33" s="298"/>
      <c r="F33" s="266" t="str">
        <f t="shared" si="1"/>
        <v/>
      </c>
      <c r="G33" s="296" t="str">
        <f t="shared" si="2"/>
        <v/>
      </c>
      <c r="H33"/>
      <c r="I33"/>
    </row>
    <row r="34" spans="1:9" x14ac:dyDescent="0.2">
      <c r="A34" s="590"/>
      <c r="B34" s="297"/>
      <c r="C34" s="297"/>
      <c r="D34" s="295">
        <f t="shared" si="0"/>
        <v>595000000</v>
      </c>
      <c r="E34" s="298"/>
      <c r="F34" s="266" t="str">
        <f t="shared" si="1"/>
        <v/>
      </c>
      <c r="G34" s="296" t="str">
        <f t="shared" si="2"/>
        <v/>
      </c>
      <c r="H34"/>
      <c r="I34"/>
    </row>
    <row r="35" spans="1:9" x14ac:dyDescent="0.2">
      <c r="A35" s="590"/>
      <c r="B35" s="297"/>
      <c r="C35" s="297"/>
      <c r="D35" s="295">
        <f t="shared" si="0"/>
        <v>595000000</v>
      </c>
      <c r="E35" s="298"/>
      <c r="F35" s="266" t="str">
        <f t="shared" si="1"/>
        <v/>
      </c>
      <c r="G35" s="296" t="str">
        <f t="shared" si="2"/>
        <v/>
      </c>
      <c r="H35"/>
      <c r="I35"/>
    </row>
    <row r="36" spans="1:9" x14ac:dyDescent="0.2">
      <c r="A36" s="590"/>
      <c r="B36" s="297"/>
      <c r="C36" s="297"/>
      <c r="D36" s="295">
        <f t="shared" si="0"/>
        <v>595000000</v>
      </c>
      <c r="E36" s="298"/>
      <c r="F36" s="266" t="str">
        <f t="shared" si="1"/>
        <v/>
      </c>
      <c r="G36" s="296" t="str">
        <f t="shared" si="2"/>
        <v/>
      </c>
      <c r="H36"/>
      <c r="I36"/>
    </row>
    <row r="37" spans="1:9" x14ac:dyDescent="0.2">
      <c r="A37" s="590"/>
      <c r="B37" s="297"/>
      <c r="C37" s="297"/>
      <c r="D37" s="295">
        <f t="shared" si="0"/>
        <v>595000000</v>
      </c>
      <c r="E37" s="298"/>
      <c r="F37" s="266" t="str">
        <f t="shared" si="1"/>
        <v/>
      </c>
      <c r="G37" s="296" t="str">
        <f t="shared" si="2"/>
        <v/>
      </c>
      <c r="H37"/>
      <c r="I37"/>
    </row>
    <row r="38" spans="1:9" x14ac:dyDescent="0.2">
      <c r="A38" s="590"/>
      <c r="B38" s="297"/>
      <c r="C38" s="297"/>
      <c r="D38" s="295">
        <f t="shared" si="0"/>
        <v>595000000</v>
      </c>
      <c r="E38" s="298"/>
      <c r="F38" s="266" t="str">
        <f t="shared" si="1"/>
        <v/>
      </c>
      <c r="G38" s="296" t="str">
        <f t="shared" si="2"/>
        <v/>
      </c>
      <c r="H38"/>
      <c r="I38"/>
    </row>
    <row r="39" spans="1:9" x14ac:dyDescent="0.2">
      <c r="A39" s="590"/>
      <c r="B39" s="297"/>
      <c r="C39" s="297"/>
      <c r="D39" s="295">
        <f t="shared" si="0"/>
        <v>595000000</v>
      </c>
      <c r="E39" s="298"/>
      <c r="F39" s="266" t="str">
        <f t="shared" si="1"/>
        <v/>
      </c>
      <c r="G39" s="296" t="str">
        <f t="shared" si="2"/>
        <v/>
      </c>
      <c r="H39"/>
      <c r="I39"/>
    </row>
    <row r="40" spans="1:9" x14ac:dyDescent="0.2">
      <c r="A40" s="590"/>
      <c r="B40" s="297"/>
      <c r="C40" s="297"/>
      <c r="D40" s="295">
        <f t="shared" si="0"/>
        <v>595000000</v>
      </c>
      <c r="E40" s="298"/>
      <c r="F40" s="266" t="str">
        <f t="shared" si="1"/>
        <v/>
      </c>
      <c r="G40" s="296" t="str">
        <f t="shared" si="2"/>
        <v/>
      </c>
      <c r="H40"/>
      <c r="I40"/>
    </row>
    <row r="41" spans="1:9" x14ac:dyDescent="0.2">
      <c r="A41" s="590"/>
      <c r="B41" s="297"/>
      <c r="C41" s="297"/>
      <c r="D41" s="295">
        <f t="shared" si="0"/>
        <v>595000000</v>
      </c>
      <c r="E41" s="298"/>
      <c r="F41" s="266" t="str">
        <f t="shared" si="1"/>
        <v/>
      </c>
      <c r="G41" s="296" t="str">
        <f t="shared" si="2"/>
        <v/>
      </c>
      <c r="H41"/>
      <c r="I41"/>
    </row>
    <row r="42" spans="1:9" x14ac:dyDescent="0.2">
      <c r="A42" s="590"/>
      <c r="B42" s="297"/>
      <c r="C42" s="297"/>
      <c r="D42" s="295">
        <f t="shared" si="0"/>
        <v>595000000</v>
      </c>
      <c r="E42" s="298"/>
      <c r="F42" s="266" t="str">
        <f t="shared" si="1"/>
        <v/>
      </c>
      <c r="G42" s="296" t="str">
        <f t="shared" si="2"/>
        <v/>
      </c>
      <c r="H42"/>
      <c r="I42"/>
    </row>
    <row r="43" spans="1:9" x14ac:dyDescent="0.2">
      <c r="A43" s="590"/>
      <c r="B43" s="297"/>
      <c r="C43" s="297"/>
      <c r="D43" s="295">
        <f t="shared" si="0"/>
        <v>595000000</v>
      </c>
      <c r="E43" s="298"/>
      <c r="F43" s="266" t="str">
        <f t="shared" si="1"/>
        <v/>
      </c>
      <c r="G43" s="296" t="str">
        <f t="shared" si="2"/>
        <v/>
      </c>
      <c r="H43"/>
      <c r="I43"/>
    </row>
    <row r="44" spans="1:9" x14ac:dyDescent="0.2">
      <c r="A44" s="590"/>
      <c r="B44" s="297"/>
      <c r="C44" s="297"/>
      <c r="D44" s="295">
        <f t="shared" si="0"/>
        <v>595000000</v>
      </c>
      <c r="E44" s="298"/>
      <c r="F44" s="266" t="str">
        <f t="shared" si="1"/>
        <v/>
      </c>
      <c r="G44" s="296" t="str">
        <f t="shared" si="2"/>
        <v/>
      </c>
      <c r="H44"/>
      <c r="I44"/>
    </row>
    <row r="45" spans="1:9" x14ac:dyDescent="0.2">
      <c r="A45" s="591"/>
      <c r="B45" s="297"/>
      <c r="C45" s="297"/>
      <c r="D45" s="295">
        <f t="shared" si="0"/>
        <v>595000000</v>
      </c>
      <c r="E45" s="298"/>
      <c r="F45" s="266" t="str">
        <f t="shared" si="1"/>
        <v/>
      </c>
      <c r="G45" s="296" t="str">
        <f t="shared" si="2"/>
        <v/>
      </c>
      <c r="H45"/>
      <c r="I45"/>
    </row>
    <row r="46" spans="1:9" x14ac:dyDescent="0.2">
      <c r="A46"/>
      <c r="B46"/>
      <c r="C46"/>
      <c r="D46"/>
      <c r="E46"/>
      <c r="F46"/>
      <c r="G46"/>
      <c r="H46"/>
      <c r="I46"/>
    </row>
    <row r="47" spans="1:9" x14ac:dyDescent="0.2">
      <c r="A47"/>
      <c r="B47"/>
      <c r="C47"/>
      <c r="D47"/>
      <c r="E47"/>
      <c r="F47"/>
      <c r="G47"/>
      <c r="H47"/>
      <c r="I47"/>
    </row>
    <row r="48" spans="1:9" x14ac:dyDescent="0.2">
      <c r="A48"/>
      <c r="B48"/>
      <c r="C48"/>
      <c r="D48"/>
      <c r="E48"/>
      <c r="F48"/>
      <c r="G48"/>
      <c r="H48"/>
      <c r="I48"/>
    </row>
    <row r="49" spans="1:9" x14ac:dyDescent="0.2">
      <c r="A49"/>
      <c r="B49"/>
      <c r="C49"/>
      <c r="D49"/>
      <c r="E49"/>
      <c r="F49"/>
      <c r="G49"/>
      <c r="H49"/>
      <c r="I49"/>
    </row>
  </sheetData>
  <mergeCells count="10">
    <mergeCell ref="A16:A45"/>
    <mergeCell ref="A11:E11"/>
    <mergeCell ref="A1:G1"/>
    <mergeCell ref="C3:C5"/>
    <mergeCell ref="D3:D5"/>
    <mergeCell ref="E3:E5"/>
    <mergeCell ref="F3:F5"/>
    <mergeCell ref="G3:G5"/>
    <mergeCell ref="A3:A5"/>
    <mergeCell ref="B3:B5"/>
  </mergeCells>
  <phoneticPr fontId="9" type="noConversion"/>
  <dataValidations count="3">
    <dataValidation allowBlank="1" showInputMessage="1" showErrorMessage="1" prompt="Digite el valor de los nuevos prestamos otorgados al socio o accionista durante el año gravable" sqref="B17:B45" xr:uid="{65F2591B-EA55-4E69-BB05-E3B2C233F2C2}"/>
    <dataValidation allowBlank="1" showInputMessage="1" showErrorMessage="1" promptTitle="dd/mm/aaaa" prompt="Digite la fecha del nuevo prestamo o el abono durante el año gravable_x000a_" sqref="E17:E45" xr:uid="{F5F0D43C-E759-4BEB-863D-C3D274735148}"/>
    <dataValidation allowBlank="1" showInputMessage="1" showErrorMessage="1" prompt="Digite el valor de los abonos a los prestamos (Pagos del socio o accionista a la empresa durante el año gravable" sqref="C17:C45" xr:uid="{8AABAB43-45A4-49FA-AECC-3F18DD6AD011}"/>
  </dataValidations>
  <pageMargins left="0.75" right="0.75" top="1" bottom="1" header="0" footer="0"/>
  <pageSetup scale="85"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FE81A-733E-4B08-8D33-7F467A1AF576}">
  <dimension ref="A2:G61"/>
  <sheetViews>
    <sheetView showGridLines="0" topLeftCell="A41" zoomScale="190" zoomScaleNormal="190" workbookViewId="0">
      <selection activeCell="D27" sqref="D27"/>
    </sheetView>
  </sheetViews>
  <sheetFormatPr baseColWidth="10" defaultRowHeight="12.75" x14ac:dyDescent="0.2"/>
  <cols>
    <col min="1" max="1" width="32.28515625" style="5" customWidth="1"/>
    <col min="2" max="2" width="13.5703125" style="5" customWidth="1"/>
    <col min="3" max="3" width="14.5703125" style="5" customWidth="1"/>
    <col min="4" max="4" width="14" style="5" bestFit="1" customWidth="1"/>
    <col min="5" max="5" width="14.140625" style="5" bestFit="1" customWidth="1"/>
    <col min="6" max="6" width="12.7109375" style="5" customWidth="1"/>
    <col min="7" max="7" width="13" style="5" customWidth="1"/>
    <col min="8" max="8" width="15.140625" style="5" customWidth="1"/>
    <col min="9" max="9" width="17.42578125" style="5" customWidth="1"/>
    <col min="10" max="16384" width="11.42578125" style="5"/>
  </cols>
  <sheetData>
    <row r="2" spans="1:7" x14ac:dyDescent="0.2">
      <c r="A2" s="587" t="s">
        <v>371</v>
      </c>
      <c r="B2" s="571"/>
      <c r="C2" s="571"/>
      <c r="D2" s="571"/>
      <c r="E2" s="6"/>
      <c r="F2" s="6"/>
      <c r="G2" s="301"/>
    </row>
    <row r="5" spans="1:7" ht="25.5" x14ac:dyDescent="0.2">
      <c r="A5" s="160" t="s">
        <v>48</v>
      </c>
      <c r="B5" s="160" t="s">
        <v>290</v>
      </c>
      <c r="C5" s="160" t="s">
        <v>374</v>
      </c>
      <c r="D5" s="160" t="s">
        <v>76</v>
      </c>
    </row>
    <row r="6" spans="1:7" x14ac:dyDescent="0.2">
      <c r="A6" s="164" t="s">
        <v>372</v>
      </c>
      <c r="B6" s="164">
        <f>+B15</f>
        <v>63901000</v>
      </c>
      <c r="C6" s="164"/>
      <c r="D6" s="164">
        <f>+B6+C6</f>
        <v>63901000</v>
      </c>
    </row>
    <row r="7" spans="1:7" x14ac:dyDescent="0.2">
      <c r="A7" s="164" t="s">
        <v>373</v>
      </c>
      <c r="B7" s="164">
        <f>+B22</f>
        <v>127640000</v>
      </c>
      <c r="C7" s="164"/>
      <c r="D7" s="164">
        <f t="shared" ref="D7" si="0">+B7+C7</f>
        <v>127640000</v>
      </c>
    </row>
    <row r="8" spans="1:7" x14ac:dyDescent="0.2">
      <c r="A8" s="165" t="s">
        <v>75</v>
      </c>
      <c r="B8" s="166">
        <f>SUM(B6:B7)</f>
        <v>191541000</v>
      </c>
      <c r="C8" s="166">
        <f>SUM(C6:C7)</f>
        <v>0</v>
      </c>
      <c r="D8" s="166">
        <f>SUM(D6:D7)</f>
        <v>191541000</v>
      </c>
    </row>
    <row r="10" spans="1:7" x14ac:dyDescent="0.2">
      <c r="A10" s="5" t="s">
        <v>375</v>
      </c>
    </row>
    <row r="11" spans="1:7" x14ac:dyDescent="0.2">
      <c r="A11" s="299" t="s">
        <v>48</v>
      </c>
      <c r="B11" s="299" t="s">
        <v>376</v>
      </c>
      <c r="C11" s="299" t="s">
        <v>11</v>
      </c>
      <c r="D11" s="299" t="s">
        <v>377</v>
      </c>
    </row>
    <row r="12" spans="1:7" x14ac:dyDescent="0.2">
      <c r="A12" s="11" t="s">
        <v>378</v>
      </c>
      <c r="B12" s="288">
        <v>36500000</v>
      </c>
      <c r="C12" s="288">
        <v>14560</v>
      </c>
      <c r="D12" s="288">
        <f>+B12/C12</f>
        <v>2506.868131868132</v>
      </c>
    </row>
    <row r="13" spans="1:7" x14ac:dyDescent="0.2">
      <c r="A13" s="11" t="s">
        <v>379</v>
      </c>
      <c r="B13" s="288">
        <v>12165400</v>
      </c>
      <c r="C13" s="288">
        <v>1200</v>
      </c>
      <c r="D13" s="288">
        <f t="shared" ref="D13:D14" si="1">+B13/C13</f>
        <v>10137.833333333334</v>
      </c>
    </row>
    <row r="14" spans="1:7" x14ac:dyDescent="0.2">
      <c r="A14" s="11" t="s">
        <v>380</v>
      </c>
      <c r="B14" s="288">
        <v>15235600</v>
      </c>
      <c r="C14" s="288">
        <v>3400</v>
      </c>
      <c r="D14" s="288">
        <f t="shared" si="1"/>
        <v>4481.0588235294117</v>
      </c>
    </row>
    <row r="15" spans="1:7" x14ac:dyDescent="0.2">
      <c r="A15" s="8" t="s">
        <v>135</v>
      </c>
      <c r="B15" s="300">
        <f>SUM(B12:B14)</f>
        <v>63901000</v>
      </c>
      <c r="C15" s="8"/>
      <c r="D15" s="8"/>
    </row>
    <row r="17" spans="1:4" x14ac:dyDescent="0.2">
      <c r="A17" s="5" t="s">
        <v>381</v>
      </c>
    </row>
    <row r="18" spans="1:4" x14ac:dyDescent="0.2">
      <c r="A18" s="299" t="s">
        <v>48</v>
      </c>
      <c r="B18" s="299" t="s">
        <v>376</v>
      </c>
      <c r="C18" s="299" t="s">
        <v>11</v>
      </c>
      <c r="D18" s="299" t="s">
        <v>377</v>
      </c>
    </row>
    <row r="19" spans="1:4" x14ac:dyDescent="0.2">
      <c r="A19" s="11" t="s">
        <v>382</v>
      </c>
      <c r="B19" s="288">
        <v>65430000</v>
      </c>
      <c r="C19" s="288">
        <v>93450</v>
      </c>
      <c r="D19" s="288">
        <f>+B19/C19</f>
        <v>700.16051364365967</v>
      </c>
    </row>
    <row r="20" spans="1:4" x14ac:dyDescent="0.2">
      <c r="A20" s="11" t="s">
        <v>383</v>
      </c>
      <c r="B20" s="288">
        <v>38760000</v>
      </c>
      <c r="C20" s="288">
        <v>21000</v>
      </c>
      <c r="D20" s="288">
        <f t="shared" ref="D20:D21" si="2">+B20/C20</f>
        <v>1845.7142857142858</v>
      </c>
    </row>
    <row r="21" spans="1:4" x14ac:dyDescent="0.2">
      <c r="A21" s="11" t="s">
        <v>384</v>
      </c>
      <c r="B21" s="288">
        <v>23450000</v>
      </c>
      <c r="C21" s="288">
        <v>51200</v>
      </c>
      <c r="D21" s="288">
        <f t="shared" si="2"/>
        <v>458.0078125</v>
      </c>
    </row>
    <row r="22" spans="1:4" x14ac:dyDescent="0.2">
      <c r="A22" s="8" t="s">
        <v>135</v>
      </c>
      <c r="B22" s="300">
        <f>SUM(B19:B21)</f>
        <v>127640000</v>
      </c>
      <c r="C22" s="8"/>
      <c r="D22" s="8"/>
    </row>
    <row r="25" spans="1:4" x14ac:dyDescent="0.2">
      <c r="A25" s="5" t="s">
        <v>393</v>
      </c>
    </row>
    <row r="27" spans="1:4" x14ac:dyDescent="0.2">
      <c r="A27" s="8" t="s">
        <v>385</v>
      </c>
      <c r="B27" s="50">
        <f>+B28+B29</f>
        <v>11110000</v>
      </c>
    </row>
    <row r="28" spans="1:4" x14ac:dyDescent="0.2">
      <c r="A28" s="11" t="s">
        <v>372</v>
      </c>
      <c r="B28" s="4">
        <v>6123000</v>
      </c>
    </row>
    <row r="29" spans="1:4" x14ac:dyDescent="0.2">
      <c r="A29" s="11" t="s">
        <v>373</v>
      </c>
      <c r="B29" s="4">
        <v>4987000</v>
      </c>
    </row>
    <row r="30" spans="1:4" x14ac:dyDescent="0.2">
      <c r="A30" s="8" t="s">
        <v>386</v>
      </c>
      <c r="B30" s="50">
        <f>SUM(B31:B34)</f>
        <v>330283000</v>
      </c>
    </row>
    <row r="31" spans="1:4" x14ac:dyDescent="0.2">
      <c r="A31" s="11" t="s">
        <v>372</v>
      </c>
      <c r="B31" s="4">
        <v>115654000</v>
      </c>
      <c r="C31" s="302" t="s">
        <v>649</v>
      </c>
    </row>
    <row r="32" spans="1:4" x14ac:dyDescent="0.2">
      <c r="A32" s="11" t="s">
        <v>387</v>
      </c>
      <c r="B32" s="4">
        <v>36543000</v>
      </c>
      <c r="C32" s="302" t="s">
        <v>650</v>
      </c>
    </row>
    <row r="33" spans="1:6" x14ac:dyDescent="0.2">
      <c r="A33" s="11" t="s">
        <v>388</v>
      </c>
      <c r="B33" s="4">
        <v>65432000</v>
      </c>
      <c r="C33" s="302" t="s">
        <v>649</v>
      </c>
    </row>
    <row r="34" spans="1:6" x14ac:dyDescent="0.2">
      <c r="A34" s="11" t="s">
        <v>389</v>
      </c>
      <c r="B34" s="4">
        <v>112654000</v>
      </c>
      <c r="C34" s="302" t="s">
        <v>649</v>
      </c>
    </row>
    <row r="35" spans="1:6" x14ac:dyDescent="0.2">
      <c r="A35" s="8" t="s">
        <v>390</v>
      </c>
      <c r="B35" s="50">
        <f>SUM(B36:B37)</f>
        <v>191541000</v>
      </c>
    </row>
    <row r="36" spans="1:6" x14ac:dyDescent="0.2">
      <c r="A36" s="11" t="s">
        <v>372</v>
      </c>
      <c r="B36" s="4">
        <f>+B6</f>
        <v>63901000</v>
      </c>
    </row>
    <row r="37" spans="1:6" x14ac:dyDescent="0.2">
      <c r="A37" s="11" t="s">
        <v>373</v>
      </c>
      <c r="B37" s="4">
        <f>+B7</f>
        <v>127640000</v>
      </c>
    </row>
    <row r="38" spans="1:6" x14ac:dyDescent="0.2">
      <c r="A38" s="8" t="s">
        <v>391</v>
      </c>
      <c r="B38" s="50">
        <f>+B27+B30-B35</f>
        <v>149852000</v>
      </c>
    </row>
    <row r="39" spans="1:6" x14ac:dyDescent="0.2">
      <c r="F39" s="302"/>
    </row>
    <row r="40" spans="1:6" x14ac:dyDescent="0.2">
      <c r="E40" s="302"/>
    </row>
    <row r="41" spans="1:6" x14ac:dyDescent="0.2">
      <c r="F41" s="302"/>
    </row>
    <row r="49" spans="1:4" x14ac:dyDescent="0.2">
      <c r="A49" s="302"/>
      <c r="B49" s="52"/>
    </row>
    <row r="50" spans="1:4" x14ac:dyDescent="0.2">
      <c r="A50" s="302"/>
      <c r="B50" s="302"/>
      <c r="D50" s="52"/>
    </row>
    <row r="52" spans="1:4" x14ac:dyDescent="0.2">
      <c r="A52" s="302"/>
      <c r="B52" s="46"/>
    </row>
    <row r="54" spans="1:4" x14ac:dyDescent="0.2">
      <c r="A54" s="302"/>
      <c r="B54" s="52"/>
      <c r="C54" s="52"/>
    </row>
    <row r="55" spans="1:4" x14ac:dyDescent="0.2">
      <c r="B55" s="52"/>
      <c r="C55" s="52"/>
    </row>
    <row r="56" spans="1:4" x14ac:dyDescent="0.2">
      <c r="A56" s="302"/>
      <c r="B56" s="543"/>
      <c r="C56" s="52"/>
    </row>
    <row r="58" spans="1:4" x14ac:dyDescent="0.2">
      <c r="A58" s="302"/>
      <c r="B58" s="302"/>
    </row>
    <row r="59" spans="1:4" x14ac:dyDescent="0.2">
      <c r="A59" s="302"/>
      <c r="B59" s="302"/>
    </row>
    <row r="61" spans="1:4" x14ac:dyDescent="0.2">
      <c r="A61" s="302"/>
    </row>
  </sheetData>
  <mergeCells count="1">
    <mergeCell ref="A2:D2"/>
  </mergeCells>
  <dataValidations count="1">
    <dataValidation allowBlank="1" showInputMessage="1" showErrorMessage="1" prompt="Los retiros digitarlos con signo negativo" sqref="C6:C7" xr:uid="{F6979CFD-B89B-4BCB-A747-355846CA14E0}"/>
  </dataValidations>
  <pageMargins left="0.74803149606299213" right="0.74803149606299213" top="0.98425196850393704" bottom="0.98425196850393704" header="0" footer="0"/>
  <pageSetup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490D0-437E-40B9-948A-D5430AC9CC24}">
  <dimension ref="A2:K172"/>
  <sheetViews>
    <sheetView showGridLines="0" tabSelected="1" topLeftCell="A54" zoomScale="180" zoomScaleNormal="180" workbookViewId="0">
      <selection activeCell="B56" sqref="B56"/>
    </sheetView>
  </sheetViews>
  <sheetFormatPr baseColWidth="10" defaultRowHeight="12.75" x14ac:dyDescent="0.2"/>
  <cols>
    <col min="1" max="1" width="32.28515625" style="5" customWidth="1"/>
    <col min="2" max="2" width="15.85546875" style="5" customWidth="1"/>
    <col min="3" max="3" width="16.140625" style="5" customWidth="1"/>
    <col min="4" max="4" width="14.5703125" style="5" customWidth="1"/>
    <col min="5" max="5" width="14.28515625" style="5" customWidth="1"/>
    <col min="6" max="6" width="15.140625" style="5" customWidth="1"/>
    <col min="7" max="7" width="17.42578125" style="5" customWidth="1"/>
    <col min="8" max="8" width="12.5703125" style="5" bestFit="1" customWidth="1"/>
    <col min="9" max="16384" width="11.42578125" style="5"/>
  </cols>
  <sheetData>
    <row r="2" spans="1:7" x14ac:dyDescent="0.2">
      <c r="A2" s="571" t="s">
        <v>708</v>
      </c>
      <c r="B2" s="571"/>
      <c r="C2" s="571"/>
      <c r="D2" s="571"/>
      <c r="E2" s="571"/>
    </row>
    <row r="4" spans="1:7" ht="51" x14ac:dyDescent="0.2">
      <c r="A4" s="160" t="s">
        <v>73</v>
      </c>
      <c r="B4" s="160" t="s">
        <v>304</v>
      </c>
      <c r="C4" s="160" t="s">
        <v>401</v>
      </c>
      <c r="D4" s="160" t="s">
        <v>402</v>
      </c>
      <c r="E4" s="160" t="s">
        <v>131</v>
      </c>
      <c r="F4" s="160" t="s">
        <v>403</v>
      </c>
      <c r="G4" s="160" t="s">
        <v>74</v>
      </c>
    </row>
    <row r="5" spans="1:7" x14ac:dyDescent="0.2">
      <c r="A5" s="161" t="s">
        <v>394</v>
      </c>
      <c r="B5" s="162">
        <v>215654000</v>
      </c>
      <c r="C5" s="162">
        <v>0</v>
      </c>
      <c r="D5" s="162">
        <f>+B5-C5</f>
        <v>215654000</v>
      </c>
      <c r="E5" s="162">
        <v>415256000</v>
      </c>
      <c r="F5" s="162">
        <f>+D5</f>
        <v>215654000</v>
      </c>
      <c r="G5" s="162"/>
    </row>
    <row r="6" spans="1:7" x14ac:dyDescent="0.2">
      <c r="A6" s="161" t="s">
        <v>395</v>
      </c>
      <c r="B6" s="162">
        <v>12500000</v>
      </c>
      <c r="C6" s="162">
        <v>0</v>
      </c>
      <c r="D6" s="162">
        <f t="shared" ref="D6:D11" si="0">+B6-C6</f>
        <v>12500000</v>
      </c>
      <c r="E6" s="162">
        <v>14500000</v>
      </c>
      <c r="F6" s="162">
        <f>+D6</f>
        <v>12500000</v>
      </c>
      <c r="G6" s="162"/>
    </row>
    <row r="7" spans="1:7" x14ac:dyDescent="0.2">
      <c r="A7" s="161" t="s">
        <v>396</v>
      </c>
      <c r="B7" s="162">
        <v>315000000</v>
      </c>
      <c r="C7" s="162">
        <f>+B7/50*4</f>
        <v>25200000</v>
      </c>
      <c r="D7" s="162">
        <f t="shared" si="0"/>
        <v>289800000</v>
      </c>
      <c r="E7" s="162">
        <v>452652000</v>
      </c>
      <c r="F7" s="162">
        <f>+D7</f>
        <v>289800000</v>
      </c>
      <c r="G7" s="162">
        <f>+F7-(D7)</f>
        <v>0</v>
      </c>
    </row>
    <row r="8" spans="1:7" x14ac:dyDescent="0.2">
      <c r="A8" s="161" t="s">
        <v>224</v>
      </c>
      <c r="B8" s="162">
        <v>65000000</v>
      </c>
      <c r="C8" s="162">
        <v>0</v>
      </c>
      <c r="D8" s="162">
        <f t="shared" si="0"/>
        <v>65000000</v>
      </c>
      <c r="E8" s="162"/>
      <c r="F8" s="162">
        <f t="shared" ref="F8:F12" si="1">+D8</f>
        <v>65000000</v>
      </c>
      <c r="G8" s="162"/>
    </row>
    <row r="9" spans="1:7" x14ac:dyDescent="0.2">
      <c r="A9" s="161" t="s">
        <v>397</v>
      </c>
      <c r="B9" s="162">
        <v>335000000</v>
      </c>
      <c r="C9" s="162">
        <v>0</v>
      </c>
      <c r="D9" s="162">
        <f t="shared" si="0"/>
        <v>335000000</v>
      </c>
      <c r="E9" s="162">
        <v>345000000</v>
      </c>
      <c r="F9" s="162">
        <f t="shared" si="1"/>
        <v>335000000</v>
      </c>
      <c r="G9" s="162"/>
    </row>
    <row r="10" spans="1:7" x14ac:dyDescent="0.2">
      <c r="A10" s="161" t="s">
        <v>398</v>
      </c>
      <c r="B10" s="162">
        <v>315254000</v>
      </c>
      <c r="C10" s="162">
        <f>+B10/70*3</f>
        <v>13510885.714285716</v>
      </c>
      <c r="D10" s="162">
        <f t="shared" si="0"/>
        <v>301743114.28571427</v>
      </c>
      <c r="E10" s="162">
        <v>215000000</v>
      </c>
      <c r="F10" s="162">
        <f t="shared" si="1"/>
        <v>301743114.28571427</v>
      </c>
      <c r="G10" s="162"/>
    </row>
    <row r="11" spans="1:7" x14ac:dyDescent="0.2">
      <c r="A11" s="161" t="s">
        <v>399</v>
      </c>
      <c r="B11" s="162">
        <v>45000000</v>
      </c>
      <c r="C11" s="162">
        <f>+B11/10*3</f>
        <v>13500000</v>
      </c>
      <c r="D11" s="162">
        <f t="shared" si="0"/>
        <v>31500000</v>
      </c>
      <c r="E11" s="162"/>
      <c r="F11" s="162">
        <f t="shared" si="1"/>
        <v>31500000</v>
      </c>
      <c r="G11" s="162"/>
    </row>
    <row r="12" spans="1:7" x14ac:dyDescent="0.2">
      <c r="A12" s="161" t="s">
        <v>400</v>
      </c>
      <c r="B12" s="162">
        <v>12500000</v>
      </c>
      <c r="C12" s="162">
        <f>+B12/5*3</f>
        <v>7500000</v>
      </c>
      <c r="D12" s="162">
        <f>+B12-C12</f>
        <v>5000000</v>
      </c>
      <c r="E12" s="162"/>
      <c r="F12" s="162">
        <f t="shared" si="1"/>
        <v>5000000</v>
      </c>
      <c r="G12" s="162"/>
    </row>
    <row r="13" spans="1:7" x14ac:dyDescent="0.2">
      <c r="A13" s="15" t="s">
        <v>135</v>
      </c>
      <c r="B13" s="163">
        <f>SUM(B5:B12)</f>
        <v>1315908000</v>
      </c>
      <c r="C13" s="163">
        <f>SUM(C5:C12)</f>
        <v>59710885.714285716</v>
      </c>
      <c r="D13" s="163">
        <f>SUM(D5:D12)</f>
        <v>1256197114.2857141</v>
      </c>
      <c r="E13" s="163"/>
      <c r="F13" s="163">
        <f>SUM(F5:F12)</f>
        <v>1256197114.2857141</v>
      </c>
      <c r="G13" s="163">
        <f>SUM(G5:G12)</f>
        <v>0</v>
      </c>
    </row>
    <row r="22" spans="1:11" x14ac:dyDescent="0.2">
      <c r="A22" s="571" t="s">
        <v>709</v>
      </c>
      <c r="B22" s="571"/>
      <c r="C22" s="571"/>
      <c r="D22" s="571"/>
      <c r="E22" s="571"/>
    </row>
    <row r="24" spans="1:11" x14ac:dyDescent="0.2">
      <c r="A24" s="302" t="s">
        <v>404</v>
      </c>
    </row>
    <row r="26" spans="1:11" x14ac:dyDescent="0.2">
      <c r="A26" s="302" t="s">
        <v>405</v>
      </c>
      <c r="B26" s="5">
        <v>23789</v>
      </c>
    </row>
    <row r="27" spans="1:11" x14ac:dyDescent="0.2">
      <c r="A27" s="302" t="s">
        <v>406</v>
      </c>
      <c r="B27" s="302" t="s">
        <v>407</v>
      </c>
      <c r="G27" s="302"/>
    </row>
    <row r="28" spans="1:11" x14ac:dyDescent="0.2">
      <c r="A28" s="302" t="s">
        <v>408</v>
      </c>
      <c r="B28" s="303">
        <v>234000000</v>
      </c>
      <c r="H28" s="52"/>
      <c r="I28" s="52"/>
      <c r="J28" s="52"/>
      <c r="K28" s="52"/>
    </row>
    <row r="29" spans="1:11" x14ac:dyDescent="0.2">
      <c r="A29" s="302" t="s">
        <v>409</v>
      </c>
      <c r="B29" s="302" t="s">
        <v>417</v>
      </c>
      <c r="G29" s="302"/>
      <c r="H29" s="52"/>
      <c r="I29" s="52"/>
      <c r="J29" s="52"/>
      <c r="K29" s="52"/>
    </row>
    <row r="30" spans="1:11" x14ac:dyDescent="0.2">
      <c r="A30" s="302" t="s">
        <v>418</v>
      </c>
      <c r="B30" s="201">
        <f>+(1+9.5%)^(1/12)-1</f>
        <v>7.5915342905825689E-3</v>
      </c>
      <c r="G30" s="302"/>
      <c r="H30" s="52"/>
      <c r="I30" s="52"/>
      <c r="J30" s="52"/>
      <c r="K30" s="52"/>
    </row>
    <row r="31" spans="1:11" x14ac:dyDescent="0.2">
      <c r="A31" s="302" t="s">
        <v>410</v>
      </c>
      <c r="B31" s="302" t="s">
        <v>412</v>
      </c>
      <c r="H31" s="52"/>
      <c r="I31" s="52"/>
      <c r="J31" s="52"/>
      <c r="K31" s="52"/>
    </row>
    <row r="32" spans="1:11" x14ac:dyDescent="0.2">
      <c r="A32" s="302" t="s">
        <v>413</v>
      </c>
      <c r="B32" s="302" t="s">
        <v>411</v>
      </c>
      <c r="G32" s="302"/>
      <c r="H32" s="52"/>
      <c r="I32" s="52"/>
      <c r="J32" s="52"/>
      <c r="K32" s="52"/>
    </row>
    <row r="33" spans="1:11" x14ac:dyDescent="0.2">
      <c r="A33" s="302" t="s">
        <v>414</v>
      </c>
      <c r="B33" s="303">
        <v>2340000</v>
      </c>
      <c r="G33" s="302"/>
      <c r="H33" s="52"/>
      <c r="I33" s="52"/>
      <c r="J33" s="52"/>
      <c r="K33" s="52"/>
    </row>
    <row r="34" spans="1:11" x14ac:dyDescent="0.2">
      <c r="A34" s="302" t="s">
        <v>419</v>
      </c>
      <c r="B34" s="304">
        <f>-PMT(B30,60,B28,-B33,0)</f>
        <v>4839003.8138953401</v>
      </c>
      <c r="H34" s="52"/>
      <c r="I34" s="52"/>
      <c r="J34" s="52"/>
      <c r="K34" s="52"/>
    </row>
    <row r="35" spans="1:11" x14ac:dyDescent="0.2">
      <c r="H35" s="52"/>
      <c r="I35" s="52"/>
      <c r="J35" s="52"/>
      <c r="K35" s="52"/>
    </row>
    <row r="37" spans="1:11" x14ac:dyDescent="0.2">
      <c r="A37" s="302" t="s">
        <v>421</v>
      </c>
      <c r="B37" s="306">
        <f>+B28</f>
        <v>234000000</v>
      </c>
    </row>
    <row r="38" spans="1:11" x14ac:dyDescent="0.2">
      <c r="A38" s="302" t="s">
        <v>401</v>
      </c>
      <c r="B38" s="309">
        <f>+(B37-65000000)/120*20</f>
        <v>28166666.666666664</v>
      </c>
    </row>
    <row r="39" spans="1:11" x14ac:dyDescent="0.2">
      <c r="A39" s="6" t="s">
        <v>422</v>
      </c>
      <c r="B39" s="310">
        <f>+B37-B38</f>
        <v>205833333.33333334</v>
      </c>
    </row>
    <row r="41" spans="1:11" x14ac:dyDescent="0.2">
      <c r="A41" s="302" t="s">
        <v>423</v>
      </c>
      <c r="B41" s="306">
        <f>+E77</f>
        <v>127411433.63124631</v>
      </c>
    </row>
    <row r="42" spans="1:11" x14ac:dyDescent="0.2">
      <c r="A42" s="302" t="s">
        <v>424</v>
      </c>
      <c r="B42" s="306">
        <f>+SUM(D66:D77)</f>
        <v>13820635.495678652</v>
      </c>
    </row>
    <row r="43" spans="1:11" x14ac:dyDescent="0.2">
      <c r="A43" s="302" t="s">
        <v>494</v>
      </c>
      <c r="B43" s="306">
        <f>+(B37-65000000)/120*12</f>
        <v>16900000</v>
      </c>
    </row>
    <row r="45" spans="1:11" x14ac:dyDescent="0.2">
      <c r="B45" s="307" t="s">
        <v>415</v>
      </c>
      <c r="C45" s="307" t="s">
        <v>416</v>
      </c>
      <c r="D45" s="307" t="s">
        <v>420</v>
      </c>
      <c r="E45" s="307" t="s">
        <v>222</v>
      </c>
    </row>
    <row r="46" spans="1:11" x14ac:dyDescent="0.2">
      <c r="B46" s="21">
        <v>43983</v>
      </c>
      <c r="C46" s="308">
        <f>-B28</f>
        <v>-234000000</v>
      </c>
      <c r="D46" s="308"/>
      <c r="E46" s="308">
        <f>+B28</f>
        <v>234000000</v>
      </c>
    </row>
    <row r="47" spans="1:11" x14ac:dyDescent="0.2">
      <c r="B47" s="21">
        <v>44012</v>
      </c>
      <c r="C47" s="308">
        <f>+B34</f>
        <v>4839003.8138953401</v>
      </c>
      <c r="D47" s="308">
        <f>+E46*$B$30</f>
        <v>1776419.023996321</v>
      </c>
      <c r="E47" s="308">
        <f>+E46+D47-C47</f>
        <v>230937415.21010098</v>
      </c>
    </row>
    <row r="48" spans="1:11" x14ac:dyDescent="0.2">
      <c r="B48" s="21">
        <v>44043</v>
      </c>
      <c r="C48" s="308">
        <f>+C47</f>
        <v>4839003.8138953401</v>
      </c>
      <c r="D48" s="308">
        <f t="shared" ref="D48:D106" si="2">+E47*$B$30</f>
        <v>1753169.3065459861</v>
      </c>
      <c r="E48" s="308">
        <f t="shared" ref="E48:E106" si="3">+E47+D48-C48</f>
        <v>227851580.70275161</v>
      </c>
    </row>
    <row r="49" spans="2:5" x14ac:dyDescent="0.2">
      <c r="B49" s="21">
        <v>44074</v>
      </c>
      <c r="C49" s="308">
        <f t="shared" ref="C49:C105" si="4">+C48</f>
        <v>4839003.8138953401</v>
      </c>
      <c r="D49" s="308">
        <f t="shared" si="2"/>
        <v>1729743.0880683803</v>
      </c>
      <c r="E49" s="308">
        <f t="shared" si="3"/>
        <v>224742319.97692463</v>
      </c>
    </row>
    <row r="50" spans="2:5" x14ac:dyDescent="0.2">
      <c r="B50" s="21">
        <v>44104</v>
      </c>
      <c r="C50" s="308">
        <f t="shared" si="4"/>
        <v>4839003.8138953401</v>
      </c>
      <c r="D50" s="308">
        <f t="shared" si="2"/>
        <v>1706139.0286499031</v>
      </c>
      <c r="E50" s="308">
        <f t="shared" si="3"/>
        <v>221609455.19167918</v>
      </c>
    </row>
    <row r="51" spans="2:5" x14ac:dyDescent="0.2">
      <c r="B51" s="21">
        <v>44135</v>
      </c>
      <c r="C51" s="308">
        <f t="shared" si="4"/>
        <v>4839003.8138953401</v>
      </c>
      <c r="D51" s="308">
        <f t="shared" si="2"/>
        <v>1682355.7782049538</v>
      </c>
      <c r="E51" s="308">
        <f t="shared" si="3"/>
        <v>218452807.15598878</v>
      </c>
    </row>
    <row r="52" spans="2:5" x14ac:dyDescent="0.2">
      <c r="B52" s="21">
        <v>44165</v>
      </c>
      <c r="C52" s="308">
        <f t="shared" si="4"/>
        <v>4839003.8138953401</v>
      </c>
      <c r="D52" s="308">
        <f t="shared" si="2"/>
        <v>1658391.9763987099</v>
      </c>
      <c r="E52" s="308">
        <f t="shared" si="3"/>
        <v>215272195.31849214</v>
      </c>
    </row>
    <row r="53" spans="2:5" x14ac:dyDescent="0.2">
      <c r="B53" s="544">
        <v>44196</v>
      </c>
      <c r="C53" s="545">
        <f t="shared" si="4"/>
        <v>4839003.8138953401</v>
      </c>
      <c r="D53" s="545">
        <f t="shared" si="2"/>
        <v>1634246.2525693215</v>
      </c>
      <c r="E53" s="545">
        <f t="shared" si="3"/>
        <v>212067437.75716612</v>
      </c>
    </row>
    <row r="54" spans="2:5" x14ac:dyDescent="0.2">
      <c r="B54" s="21">
        <v>44227</v>
      </c>
      <c r="C54" s="308">
        <f t="shared" si="4"/>
        <v>4839003.8138953401</v>
      </c>
      <c r="D54" s="308">
        <f t="shared" si="2"/>
        <v>1609917.2256495112</v>
      </c>
      <c r="E54" s="308">
        <f t="shared" si="3"/>
        <v>208838351.16892028</v>
      </c>
    </row>
    <row r="55" spans="2:5" x14ac:dyDescent="0.2">
      <c r="B55" s="21">
        <v>44255</v>
      </c>
      <c r="C55" s="308">
        <f t="shared" si="4"/>
        <v>4839003.8138953401</v>
      </c>
      <c r="D55" s="308">
        <f t="shared" si="2"/>
        <v>1585403.5040875827</v>
      </c>
      <c r="E55" s="308">
        <f t="shared" si="3"/>
        <v>205584750.85911253</v>
      </c>
    </row>
    <row r="56" spans="2:5" x14ac:dyDescent="0.2">
      <c r="B56" s="21">
        <v>44286</v>
      </c>
      <c r="C56" s="308">
        <f t="shared" si="4"/>
        <v>4839003.8138953401</v>
      </c>
      <c r="D56" s="308">
        <f t="shared" si="2"/>
        <v>1560703.6857678271</v>
      </c>
      <c r="E56" s="308">
        <f t="shared" si="3"/>
        <v>202306450.73098502</v>
      </c>
    </row>
    <row r="57" spans="2:5" x14ac:dyDescent="0.2">
      <c r="B57" s="21">
        <v>44316</v>
      </c>
      <c r="C57" s="308">
        <f t="shared" si="4"/>
        <v>4839003.8138953401</v>
      </c>
      <c r="D57" s="308">
        <f t="shared" si="2"/>
        <v>1535816.3579303257</v>
      </c>
      <c r="E57" s="308">
        <f t="shared" si="3"/>
        <v>199003263.27502</v>
      </c>
    </row>
    <row r="58" spans="2:5" x14ac:dyDescent="0.2">
      <c r="B58" s="21">
        <v>44347</v>
      </c>
      <c r="C58" s="308">
        <f t="shared" si="4"/>
        <v>4839003.8138953401</v>
      </c>
      <c r="D58" s="308">
        <f t="shared" si="2"/>
        <v>1510740.0970901451</v>
      </c>
      <c r="E58" s="308">
        <f t="shared" si="3"/>
        <v>195674999.55821481</v>
      </c>
    </row>
    <row r="59" spans="2:5" x14ac:dyDescent="0.2">
      <c r="B59" s="21">
        <v>44377</v>
      </c>
      <c r="C59" s="308">
        <f t="shared" si="4"/>
        <v>4839003.8138953401</v>
      </c>
      <c r="D59" s="308">
        <f t="shared" si="2"/>
        <v>1485473.4689559168</v>
      </c>
      <c r="E59" s="308">
        <f t="shared" si="3"/>
        <v>192321469.21327537</v>
      </c>
    </row>
    <row r="60" spans="2:5" x14ac:dyDescent="0.2">
      <c r="B60" s="21">
        <v>44408</v>
      </c>
      <c r="C60" s="308">
        <f t="shared" si="4"/>
        <v>4839003.8138953401</v>
      </c>
      <c r="D60" s="308">
        <f t="shared" si="2"/>
        <v>1460015.0283477998</v>
      </c>
      <c r="E60" s="308">
        <f t="shared" si="3"/>
        <v>188942480.42772782</v>
      </c>
    </row>
    <row r="61" spans="2:5" x14ac:dyDescent="0.2">
      <c r="B61" s="21">
        <v>44439</v>
      </c>
      <c r="C61" s="308">
        <f t="shared" si="4"/>
        <v>4839003.8138953401</v>
      </c>
      <c r="D61" s="308">
        <f t="shared" si="2"/>
        <v>1434363.3191148217</v>
      </c>
      <c r="E61" s="308">
        <f t="shared" si="3"/>
        <v>185537839.93294731</v>
      </c>
    </row>
    <row r="62" spans="2:5" x14ac:dyDescent="0.2">
      <c r="B62" s="21">
        <v>44469</v>
      </c>
      <c r="C62" s="308">
        <f t="shared" si="4"/>
        <v>4839003.8138953401</v>
      </c>
      <c r="D62" s="308">
        <f t="shared" si="2"/>
        <v>1408516.8740515893</v>
      </c>
      <c r="E62" s="308">
        <f t="shared" si="3"/>
        <v>182107352.99310356</v>
      </c>
    </row>
    <row r="63" spans="2:5" x14ac:dyDescent="0.2">
      <c r="B63" s="21">
        <v>44500</v>
      </c>
      <c r="C63" s="308">
        <f t="shared" si="4"/>
        <v>4839003.8138953401</v>
      </c>
      <c r="D63" s="308">
        <f t="shared" si="2"/>
        <v>1382474.21481437</v>
      </c>
      <c r="E63" s="308">
        <f t="shared" si="3"/>
        <v>178650823.39402258</v>
      </c>
    </row>
    <row r="64" spans="2:5" x14ac:dyDescent="0.2">
      <c r="B64" s="21">
        <v>44530</v>
      </c>
      <c r="C64" s="308">
        <f t="shared" si="4"/>
        <v>4839003.8138953401</v>
      </c>
      <c r="D64" s="308">
        <f t="shared" si="2"/>
        <v>1356233.8518365331</v>
      </c>
      <c r="E64" s="308">
        <f t="shared" si="3"/>
        <v>175168053.43196377</v>
      </c>
    </row>
    <row r="65" spans="2:5" x14ac:dyDescent="0.2">
      <c r="B65" s="544">
        <v>44561</v>
      </c>
      <c r="C65" s="545">
        <f t="shared" si="4"/>
        <v>4839003.8138953401</v>
      </c>
      <c r="D65" s="545">
        <f t="shared" si="2"/>
        <v>1329794.2842433527</v>
      </c>
      <c r="E65" s="545">
        <f t="shared" si="3"/>
        <v>171658843.90231177</v>
      </c>
    </row>
    <row r="66" spans="2:5" x14ac:dyDescent="0.2">
      <c r="B66" s="21">
        <v>44592</v>
      </c>
      <c r="C66" s="308">
        <f t="shared" si="4"/>
        <v>4839003.8138953401</v>
      </c>
      <c r="D66" s="308">
        <f t="shared" si="2"/>
        <v>1303153.9997661603</v>
      </c>
      <c r="E66" s="308">
        <f t="shared" si="3"/>
        <v>168122994.0881826</v>
      </c>
    </row>
    <row r="67" spans="2:5" x14ac:dyDescent="0.2">
      <c r="B67" s="21">
        <v>44620</v>
      </c>
      <c r="C67" s="308">
        <f t="shared" si="4"/>
        <v>4839003.8138953401</v>
      </c>
      <c r="D67" s="308">
        <f t="shared" si="2"/>
        <v>1276311.4746558487</v>
      </c>
      <c r="E67" s="308">
        <f t="shared" si="3"/>
        <v>164560301.74894309</v>
      </c>
    </row>
    <row r="68" spans="2:5" x14ac:dyDescent="0.2">
      <c r="B68" s="21">
        <v>44651</v>
      </c>
      <c r="C68" s="308">
        <f t="shared" si="4"/>
        <v>4839003.8138953401</v>
      </c>
      <c r="D68" s="308">
        <f t="shared" si="2"/>
        <v>1249265.1735957162</v>
      </c>
      <c r="E68" s="308">
        <f t="shared" si="3"/>
        <v>160970563.10864347</v>
      </c>
    </row>
    <row r="69" spans="2:5" x14ac:dyDescent="0.2">
      <c r="B69" s="21">
        <v>44681</v>
      </c>
      <c r="C69" s="308">
        <f t="shared" si="4"/>
        <v>4839003.8138953401</v>
      </c>
      <c r="D69" s="308">
        <f t="shared" si="2"/>
        <v>1222013.5496136523</v>
      </c>
      <c r="E69" s="308">
        <f t="shared" si="3"/>
        <v>157353572.84436178</v>
      </c>
    </row>
    <row r="70" spans="2:5" x14ac:dyDescent="0.2">
      <c r="B70" s="21">
        <v>44712</v>
      </c>
      <c r="C70" s="308">
        <f t="shared" si="4"/>
        <v>4839003.8138953401</v>
      </c>
      <c r="D70" s="308">
        <f t="shared" si="2"/>
        <v>1194555.0439936547</v>
      </c>
      <c r="E70" s="308">
        <f t="shared" si="3"/>
        <v>153709124.07446009</v>
      </c>
    </row>
    <row r="71" spans="2:5" x14ac:dyDescent="0.2">
      <c r="B71" s="21">
        <v>44742</v>
      </c>
      <c r="C71" s="308">
        <f t="shared" si="4"/>
        <v>4839003.8138953401</v>
      </c>
      <c r="D71" s="308">
        <f t="shared" si="2"/>
        <v>1166888.0861866744</v>
      </c>
      <c r="E71" s="308">
        <f t="shared" si="3"/>
        <v>150037008.34675142</v>
      </c>
    </row>
    <row r="72" spans="2:5" x14ac:dyDescent="0.2">
      <c r="B72" s="21">
        <v>44773</v>
      </c>
      <c r="C72" s="308">
        <f t="shared" si="4"/>
        <v>4839003.8138953401</v>
      </c>
      <c r="D72" s="308">
        <f t="shared" si="2"/>
        <v>1139011.0937207865</v>
      </c>
      <c r="E72" s="308">
        <f t="shared" si="3"/>
        <v>146337015.62657687</v>
      </c>
    </row>
    <row r="73" spans="2:5" x14ac:dyDescent="0.2">
      <c r="B73" s="21">
        <v>44804</v>
      </c>
      <c r="C73" s="308">
        <f t="shared" si="4"/>
        <v>4839003.8138953401</v>
      </c>
      <c r="D73" s="308">
        <f t="shared" si="2"/>
        <v>1110922.4721106756</v>
      </c>
      <c r="E73" s="308">
        <f t="shared" si="3"/>
        <v>142608934.28479221</v>
      </c>
    </row>
    <row r="74" spans="2:5" x14ac:dyDescent="0.2">
      <c r="B74" s="21">
        <v>44834</v>
      </c>
      <c r="C74" s="308">
        <f t="shared" si="4"/>
        <v>4839003.8138953401</v>
      </c>
      <c r="D74" s="308">
        <f t="shared" si="2"/>
        <v>1082620.6147664362</v>
      </c>
      <c r="E74" s="308">
        <f t="shared" si="3"/>
        <v>138852551.08566332</v>
      </c>
    </row>
    <row r="75" spans="2:5" x14ac:dyDescent="0.2">
      <c r="B75" s="21">
        <v>44865</v>
      </c>
      <c r="C75" s="308">
        <f t="shared" si="4"/>
        <v>4839003.8138953401</v>
      </c>
      <c r="D75" s="308">
        <f t="shared" si="2"/>
        <v>1054103.9029016809</v>
      </c>
      <c r="E75" s="308">
        <f t="shared" si="3"/>
        <v>135067651.17466965</v>
      </c>
    </row>
    <row r="76" spans="2:5" x14ac:dyDescent="0.2">
      <c r="B76" s="21">
        <v>44895</v>
      </c>
      <c r="C76" s="308">
        <f t="shared" si="4"/>
        <v>4839003.8138953401</v>
      </c>
      <c r="D76" s="308">
        <f t="shared" si="2"/>
        <v>1025370.7054409496</v>
      </c>
      <c r="E76" s="308">
        <f t="shared" si="3"/>
        <v>131254018.06621525</v>
      </c>
    </row>
    <row r="77" spans="2:5" x14ac:dyDescent="0.2">
      <c r="B77" s="21">
        <v>44926</v>
      </c>
      <c r="C77" s="308">
        <f t="shared" si="4"/>
        <v>4839003.8138953401</v>
      </c>
      <c r="D77" s="308">
        <f t="shared" si="2"/>
        <v>996419.37892641709</v>
      </c>
      <c r="E77" s="308">
        <f t="shared" si="3"/>
        <v>127411433.63124631</v>
      </c>
    </row>
    <row r="78" spans="2:5" x14ac:dyDescent="0.2">
      <c r="B78" s="21">
        <v>44957</v>
      </c>
      <c r="C78" s="308">
        <f t="shared" si="4"/>
        <v>4839003.8138953401</v>
      </c>
      <c r="D78" s="308">
        <f t="shared" si="2"/>
        <v>967248.26742389158</v>
      </c>
      <c r="E78" s="308">
        <f t="shared" si="3"/>
        <v>123539678.08477487</v>
      </c>
    </row>
    <row r="79" spans="2:5" x14ac:dyDescent="0.2">
      <c r="B79" s="21">
        <v>44985</v>
      </c>
      <c r="C79" s="308">
        <f t="shared" si="4"/>
        <v>4839003.8138953401</v>
      </c>
      <c r="D79" s="308">
        <f t="shared" si="2"/>
        <v>937855.70242810028</v>
      </c>
      <c r="E79" s="308">
        <f t="shared" si="3"/>
        <v>119638529.97330762</v>
      </c>
    </row>
    <row r="80" spans="2:5" x14ac:dyDescent="0.2">
      <c r="B80" s="21">
        <v>45016</v>
      </c>
      <c r="C80" s="308">
        <f t="shared" si="4"/>
        <v>4839003.8138953401</v>
      </c>
      <c r="D80" s="308">
        <f t="shared" si="2"/>
        <v>908240.0027672553</v>
      </c>
      <c r="E80" s="308">
        <f t="shared" si="3"/>
        <v>115707766.16217953</v>
      </c>
    </row>
    <row r="81" spans="2:5" x14ac:dyDescent="0.2">
      <c r="B81" s="21">
        <v>45046</v>
      </c>
      <c r="C81" s="308">
        <f t="shared" si="4"/>
        <v>4839003.8138953401</v>
      </c>
      <c r="D81" s="308">
        <f t="shared" si="2"/>
        <v>878399.47450689529</v>
      </c>
      <c r="E81" s="308">
        <f t="shared" si="3"/>
        <v>111747161.82279108</v>
      </c>
    </row>
    <row r="82" spans="2:5" x14ac:dyDescent="0.2">
      <c r="B82" s="21">
        <v>45077</v>
      </c>
      <c r="C82" s="308">
        <f t="shared" si="4"/>
        <v>4839003.8138953401</v>
      </c>
      <c r="D82" s="308">
        <f t="shared" si="2"/>
        <v>848332.4108529978</v>
      </c>
      <c r="E82" s="308">
        <f t="shared" si="3"/>
        <v>107756490.41974874</v>
      </c>
    </row>
    <row r="83" spans="2:5" x14ac:dyDescent="0.2">
      <c r="B83" s="21">
        <v>45107</v>
      </c>
      <c r="C83" s="308">
        <f t="shared" si="4"/>
        <v>4839003.8138953401</v>
      </c>
      <c r="D83" s="308">
        <f t="shared" si="2"/>
        <v>818037.09205435461</v>
      </c>
      <c r="E83" s="308">
        <f t="shared" si="3"/>
        <v>103735523.69790775</v>
      </c>
    </row>
    <row r="84" spans="2:5" x14ac:dyDescent="0.2">
      <c r="B84" s="21">
        <v>45138</v>
      </c>
      <c r="C84" s="308">
        <f t="shared" si="4"/>
        <v>4839003.8138953401</v>
      </c>
      <c r="D84" s="308">
        <f t="shared" si="2"/>
        <v>787511.78530420735</v>
      </c>
      <c r="E84" s="308">
        <f t="shared" si="3"/>
        <v>99684031.669316605</v>
      </c>
    </row>
    <row r="85" spans="2:5" x14ac:dyDescent="0.2">
      <c r="B85" s="21">
        <v>45169</v>
      </c>
      <c r="C85" s="308">
        <f t="shared" si="4"/>
        <v>4839003.8138953401</v>
      </c>
      <c r="D85" s="308">
        <f t="shared" si="2"/>
        <v>756754.7446411358</v>
      </c>
      <c r="E85" s="308">
        <f t="shared" si="3"/>
        <v>95601782.6000624</v>
      </c>
    </row>
    <row r="86" spans="2:5" x14ac:dyDescent="0.2">
      <c r="B86" s="21">
        <v>45199</v>
      </c>
      <c r="C86" s="308">
        <f t="shared" si="4"/>
        <v>4839003.8138953401</v>
      </c>
      <c r="D86" s="308">
        <f t="shared" si="2"/>
        <v>725764.21084919374</v>
      </c>
      <c r="E86" s="308">
        <f t="shared" si="3"/>
        <v>91488542.997016251</v>
      </c>
    </row>
    <row r="87" spans="2:5" x14ac:dyDescent="0.2">
      <c r="B87" s="21">
        <v>45230</v>
      </c>
      <c r="C87" s="308">
        <f t="shared" si="4"/>
        <v>4839003.8138953401</v>
      </c>
      <c r="D87" s="308">
        <f t="shared" si="2"/>
        <v>694538.41135728662</v>
      </c>
      <c r="E87" s="308">
        <f t="shared" si="3"/>
        <v>87344077.59447819</v>
      </c>
    </row>
    <row r="88" spans="2:5" x14ac:dyDescent="0.2">
      <c r="B88" s="21">
        <v>45260</v>
      </c>
      <c r="C88" s="308">
        <f t="shared" si="4"/>
        <v>4839003.8138953401</v>
      </c>
      <c r="D88" s="308">
        <f t="shared" si="2"/>
        <v>663075.56013778585</v>
      </c>
      <c r="E88" s="308">
        <f t="shared" si="3"/>
        <v>83168149.340720624</v>
      </c>
    </row>
    <row r="89" spans="2:5" x14ac:dyDescent="0.2">
      <c r="B89" s="21">
        <v>45291</v>
      </c>
      <c r="C89" s="308">
        <f t="shared" si="4"/>
        <v>4839003.8138953401</v>
      </c>
      <c r="D89" s="308">
        <f t="shared" si="2"/>
        <v>631373.85760437266</v>
      </c>
      <c r="E89" s="308">
        <f t="shared" si="3"/>
        <v>78960519.384429649</v>
      </c>
    </row>
    <row r="90" spans="2:5" x14ac:dyDescent="0.2">
      <c r="B90" s="21">
        <v>45322</v>
      </c>
      <c r="C90" s="308">
        <f t="shared" si="4"/>
        <v>4839003.8138953401</v>
      </c>
      <c r="D90" s="308">
        <f t="shared" si="2"/>
        <v>599431.49050910736</v>
      </c>
      <c r="E90" s="308">
        <f t="shared" si="3"/>
        <v>74720947.061043411</v>
      </c>
    </row>
    <row r="91" spans="2:5" x14ac:dyDescent="0.2">
      <c r="B91" s="21">
        <v>45351</v>
      </c>
      <c r="C91" s="308">
        <f t="shared" si="4"/>
        <v>4839003.8138953401</v>
      </c>
      <c r="D91" s="308">
        <f t="shared" si="2"/>
        <v>567246.63183871587</v>
      </c>
      <c r="E91" s="308">
        <f t="shared" si="3"/>
        <v>70449189.878986776</v>
      </c>
    </row>
    <row r="92" spans="2:5" x14ac:dyDescent="0.2">
      <c r="B92" s="21">
        <v>45382</v>
      </c>
      <c r="C92" s="308">
        <f t="shared" si="4"/>
        <v>4839003.8138953401</v>
      </c>
      <c r="D92" s="308">
        <f t="shared" si="2"/>
        <v>534817.44071009057</v>
      </c>
      <c r="E92" s="308">
        <f t="shared" si="3"/>
        <v>66145003.505801536</v>
      </c>
    </row>
    <row r="93" spans="2:5" x14ac:dyDescent="0.2">
      <c r="B93" s="21">
        <v>45412</v>
      </c>
      <c r="C93" s="308">
        <f t="shared" si="4"/>
        <v>4839003.8138953401</v>
      </c>
      <c r="D93" s="308">
        <f t="shared" si="2"/>
        <v>502142.06226499658</v>
      </c>
      <c r="E93" s="308">
        <f t="shared" si="3"/>
        <v>61808141.754171193</v>
      </c>
    </row>
    <row r="94" spans="2:5" x14ac:dyDescent="0.2">
      <c r="B94" s="21">
        <v>45443</v>
      </c>
      <c r="C94" s="308">
        <f t="shared" si="4"/>
        <v>4839003.8138953401</v>
      </c>
      <c r="D94" s="308">
        <f t="shared" si="2"/>
        <v>469218.62756397884</v>
      </c>
      <c r="E94" s="308">
        <f t="shared" si="3"/>
        <v>57438356.567839831</v>
      </c>
    </row>
    <row r="95" spans="2:5" x14ac:dyDescent="0.2">
      <c r="B95" s="21">
        <v>45473</v>
      </c>
      <c r="C95" s="308">
        <f t="shared" si="4"/>
        <v>4839003.8138953401</v>
      </c>
      <c r="D95" s="308">
        <f t="shared" si="2"/>
        <v>436045.25347946456</v>
      </c>
      <c r="E95" s="308">
        <f t="shared" si="3"/>
        <v>53035398.00742396</v>
      </c>
    </row>
    <row r="96" spans="2:5" x14ac:dyDescent="0.2">
      <c r="B96" s="21">
        <v>45504</v>
      </c>
      <c r="C96" s="308">
        <f t="shared" si="4"/>
        <v>4839003.8138953401</v>
      </c>
      <c r="D96" s="308">
        <f t="shared" si="2"/>
        <v>402620.04258805345</v>
      </c>
      <c r="E96" s="308">
        <f t="shared" si="3"/>
        <v>48599014.236116678</v>
      </c>
    </row>
    <row r="97" spans="2:5" x14ac:dyDescent="0.2">
      <c r="B97" s="21">
        <v>45535</v>
      </c>
      <c r="C97" s="308">
        <f t="shared" si="4"/>
        <v>4839003.8138953401</v>
      </c>
      <c r="D97" s="308">
        <f t="shared" si="2"/>
        <v>368941.08306199021</v>
      </c>
      <c r="E97" s="308">
        <f t="shared" si="3"/>
        <v>44128951.505283333</v>
      </c>
    </row>
    <row r="98" spans="2:5" x14ac:dyDescent="0.2">
      <c r="B98" s="21">
        <v>45565</v>
      </c>
      <c r="C98" s="308">
        <f t="shared" si="4"/>
        <v>4839003.8138953401</v>
      </c>
      <c r="D98" s="308">
        <f t="shared" si="2"/>
        <v>335006.44855981367</v>
      </c>
      <c r="E98" s="308">
        <f t="shared" si="3"/>
        <v>39624954.139947809</v>
      </c>
    </row>
    <row r="99" spans="2:5" x14ac:dyDescent="0.2">
      <c r="B99" s="21">
        <v>45596</v>
      </c>
      <c r="C99" s="308">
        <f t="shared" si="4"/>
        <v>4839003.8138953401</v>
      </c>
      <c r="D99" s="308">
        <f t="shared" si="2"/>
        <v>300814.19811617554</v>
      </c>
      <c r="E99" s="308">
        <f t="shared" si="3"/>
        <v>35086764.524168648</v>
      </c>
    </row>
    <row r="100" spans="2:5" x14ac:dyDescent="0.2">
      <c r="B100" s="21">
        <v>45626</v>
      </c>
      <c r="C100" s="308">
        <f t="shared" si="4"/>
        <v>4839003.8138953401</v>
      </c>
      <c r="D100" s="308">
        <f t="shared" si="2"/>
        <v>266362.37603082228</v>
      </c>
      <c r="E100" s="308">
        <f t="shared" si="3"/>
        <v>30514123.086304132</v>
      </c>
    </row>
    <row r="101" spans="2:5" x14ac:dyDescent="0.2">
      <c r="B101" s="21">
        <v>45657</v>
      </c>
      <c r="C101" s="308">
        <f t="shared" si="4"/>
        <v>4839003.8138953401</v>
      </c>
      <c r="D101" s="308">
        <f t="shared" si="2"/>
        <v>231649.01175673504</v>
      </c>
      <c r="E101" s="308">
        <f t="shared" si="3"/>
        <v>25906768.284165528</v>
      </c>
    </row>
    <row r="102" spans="2:5" x14ac:dyDescent="0.2">
      <c r="B102" s="21">
        <v>45688</v>
      </c>
      <c r="C102" s="308">
        <f t="shared" si="4"/>
        <v>4839003.8138953401</v>
      </c>
      <c r="D102" s="308">
        <f t="shared" si="2"/>
        <v>196672.11978741953</v>
      </c>
      <c r="E102" s="308">
        <f t="shared" si="3"/>
        <v>21264436.590057608</v>
      </c>
    </row>
    <row r="103" spans="2:5" x14ac:dyDescent="0.2">
      <c r="B103" s="21">
        <v>45716</v>
      </c>
      <c r="C103" s="308">
        <f t="shared" si="4"/>
        <v>4839003.8138953401</v>
      </c>
      <c r="D103" s="308">
        <f t="shared" si="2"/>
        <v>161429.699543341</v>
      </c>
      <c r="E103" s="308">
        <f t="shared" si="3"/>
        <v>16586862.475705609</v>
      </c>
    </row>
    <row r="104" spans="2:5" x14ac:dyDescent="0.2">
      <c r="B104" s="21">
        <v>45747</v>
      </c>
      <c r="C104" s="308">
        <f t="shared" si="4"/>
        <v>4839003.8138953401</v>
      </c>
      <c r="D104" s="308">
        <f t="shared" si="2"/>
        <v>125919.73525749642</v>
      </c>
      <c r="E104" s="308">
        <f t="shared" si="3"/>
        <v>11873778.397067767</v>
      </c>
    </row>
    <row r="105" spans="2:5" x14ac:dyDescent="0.2">
      <c r="B105" s="21">
        <v>45777</v>
      </c>
      <c r="C105" s="308">
        <f t="shared" si="4"/>
        <v>4839003.8138953401</v>
      </c>
      <c r="D105" s="308">
        <f t="shared" si="2"/>
        <v>90140.195860118474</v>
      </c>
      <c r="E105" s="308">
        <f t="shared" si="3"/>
        <v>7124914.7790325442</v>
      </c>
    </row>
    <row r="106" spans="2:5" x14ac:dyDescent="0.2">
      <c r="B106" s="21">
        <v>45808</v>
      </c>
      <c r="C106" s="308">
        <f>+C105+B33</f>
        <v>7179003.8138953401</v>
      </c>
      <c r="D106" s="308">
        <f t="shared" si="2"/>
        <v>54089.034862504086</v>
      </c>
      <c r="E106" s="308">
        <f t="shared" si="3"/>
        <v>-2.9150396585464478E-7</v>
      </c>
    </row>
    <row r="107" spans="2:5" x14ac:dyDescent="0.2">
      <c r="B107" s="305"/>
    </row>
    <row r="108" spans="2:5" x14ac:dyDescent="0.2">
      <c r="B108" s="305"/>
    </row>
    <row r="109" spans="2:5" x14ac:dyDescent="0.2">
      <c r="C109" s="542">
        <f>+IRR(C46:C106)</f>
        <v>7.5915342905825689E-3</v>
      </c>
    </row>
    <row r="112" spans="2:5" s="325" customFormat="1" x14ac:dyDescent="0.2"/>
    <row r="113" spans="1:7" x14ac:dyDescent="0.2">
      <c r="B113" s="302"/>
    </row>
    <row r="114" spans="1:7" x14ac:dyDescent="0.2">
      <c r="A114" s="302"/>
      <c r="B114" s="302"/>
    </row>
    <row r="115" spans="1:7" x14ac:dyDescent="0.2">
      <c r="B115" s="302"/>
    </row>
    <row r="116" spans="1:7" x14ac:dyDescent="0.2">
      <c r="B116" s="302"/>
    </row>
    <row r="117" spans="1:7" x14ac:dyDescent="0.2">
      <c r="G117" s="302"/>
    </row>
    <row r="118" spans="1:7" x14ac:dyDescent="0.2">
      <c r="F118" s="302"/>
      <c r="G118" s="302"/>
    </row>
    <row r="119" spans="1:7" x14ac:dyDescent="0.2">
      <c r="A119" s="302"/>
      <c r="B119" s="302"/>
      <c r="G119" s="302"/>
    </row>
    <row r="120" spans="1:7" x14ac:dyDescent="0.2">
      <c r="B120" s="302"/>
    </row>
    <row r="121" spans="1:7" x14ac:dyDescent="0.2">
      <c r="E121" s="302"/>
      <c r="F121" s="302"/>
    </row>
    <row r="122" spans="1:7" x14ac:dyDescent="0.2">
      <c r="F122" s="302"/>
    </row>
    <row r="125" spans="1:7" x14ac:dyDescent="0.2">
      <c r="C125" s="302"/>
      <c r="F125" s="302"/>
      <c r="G125" s="302"/>
    </row>
    <row r="126" spans="1:7" x14ac:dyDescent="0.2">
      <c r="G126" s="302"/>
    </row>
    <row r="127" spans="1:7" x14ac:dyDescent="0.2">
      <c r="G127" s="302"/>
    </row>
    <row r="130" spans="3:10" x14ac:dyDescent="0.2">
      <c r="C130" s="302"/>
    </row>
    <row r="132" spans="3:10" x14ac:dyDescent="0.2">
      <c r="C132" s="302"/>
      <c r="E132" s="302"/>
      <c r="F132" s="302"/>
      <c r="H132" s="302"/>
      <c r="I132" s="201"/>
      <c r="J132" s="302"/>
    </row>
    <row r="133" spans="3:10" x14ac:dyDescent="0.2">
      <c r="F133" s="302"/>
      <c r="H133" s="566"/>
    </row>
    <row r="135" spans="3:10" x14ac:dyDescent="0.2">
      <c r="F135" s="302"/>
    </row>
    <row r="136" spans="3:10" x14ac:dyDescent="0.2">
      <c r="I136" s="567"/>
    </row>
    <row r="138" spans="3:10" x14ac:dyDescent="0.2">
      <c r="F138" s="302"/>
    </row>
    <row r="141" spans="3:10" x14ac:dyDescent="0.2">
      <c r="C141" s="302"/>
      <c r="E141" s="302"/>
      <c r="F141" s="302"/>
      <c r="H141" s="302"/>
      <c r="I141" s="201"/>
      <c r="J141" s="302"/>
    </row>
    <row r="142" spans="3:10" x14ac:dyDescent="0.2">
      <c r="F142" s="302"/>
      <c r="H142" s="566"/>
    </row>
    <row r="144" spans="3:10" x14ac:dyDescent="0.2">
      <c r="H144" s="302"/>
      <c r="I144" s="567"/>
    </row>
    <row r="147" spans="1:6" x14ac:dyDescent="0.2">
      <c r="F147" s="302"/>
    </row>
    <row r="150" spans="1:6" s="325" customFormat="1" x14ac:dyDescent="0.2"/>
    <row r="156" spans="1:6" x14ac:dyDescent="0.2">
      <c r="A156" s="302"/>
      <c r="B156" s="564"/>
      <c r="C156" s="564"/>
      <c r="D156" s="564"/>
    </row>
    <row r="157" spans="1:6" x14ac:dyDescent="0.2">
      <c r="B157" s="564"/>
      <c r="C157" s="564"/>
      <c r="D157" s="564"/>
    </row>
    <row r="158" spans="1:6" x14ac:dyDescent="0.2">
      <c r="A158" s="302"/>
      <c r="B158" s="564"/>
      <c r="C158" s="564"/>
      <c r="D158" s="565"/>
      <c r="E158" s="302"/>
    </row>
    <row r="159" spans="1:6" x14ac:dyDescent="0.2">
      <c r="A159" s="302"/>
      <c r="B159" s="564"/>
      <c r="C159" s="564"/>
      <c r="D159" s="565"/>
      <c r="E159" s="302"/>
    </row>
    <row r="160" spans="1:6" x14ac:dyDescent="0.2">
      <c r="A160" s="302"/>
      <c r="B160" s="565"/>
      <c r="C160" s="564"/>
      <c r="D160" s="565"/>
    </row>
    <row r="161" spans="1:6" x14ac:dyDescent="0.2">
      <c r="A161" s="302"/>
      <c r="B161" s="564"/>
      <c r="C161" s="564"/>
      <c r="D161" s="564"/>
    </row>
    <row r="162" spans="1:6" x14ac:dyDescent="0.2">
      <c r="B162" s="564"/>
      <c r="C162" s="564"/>
      <c r="D162" s="564"/>
    </row>
    <row r="163" spans="1:6" x14ac:dyDescent="0.2">
      <c r="B163" s="302"/>
      <c r="C163" s="302"/>
      <c r="D163" s="565"/>
      <c r="F163" s="564"/>
    </row>
    <row r="164" spans="1:6" x14ac:dyDescent="0.2">
      <c r="A164" s="302"/>
      <c r="B164" s="568"/>
      <c r="C164" s="568"/>
      <c r="D164" s="565"/>
      <c r="E164" s="567"/>
      <c r="F164" s="564"/>
    </row>
    <row r="165" spans="1:6" x14ac:dyDescent="0.2">
      <c r="A165" s="302"/>
      <c r="B165" s="568"/>
      <c r="C165" s="568"/>
      <c r="D165" s="565"/>
      <c r="E165" s="567"/>
      <c r="F165" s="564"/>
    </row>
    <row r="166" spans="1:6" x14ac:dyDescent="0.2">
      <c r="A166" s="302"/>
      <c r="B166" s="568"/>
      <c r="C166" s="568"/>
      <c r="D166" s="565"/>
      <c r="E166" s="567"/>
      <c r="F166" s="564"/>
    </row>
    <row r="167" spans="1:6" x14ac:dyDescent="0.2">
      <c r="A167" s="302"/>
      <c r="B167" s="568"/>
      <c r="C167" s="568"/>
      <c r="D167" s="565"/>
      <c r="F167" s="564"/>
    </row>
    <row r="169" spans="1:6" x14ac:dyDescent="0.2">
      <c r="A169" s="302"/>
      <c r="B169" s="568"/>
      <c r="C169" s="568"/>
      <c r="D169" s="302"/>
    </row>
    <row r="170" spans="1:6" x14ac:dyDescent="0.2">
      <c r="A170" s="302"/>
      <c r="B170" s="568"/>
      <c r="C170" s="568"/>
    </row>
    <row r="172" spans="1:6" x14ac:dyDescent="0.2">
      <c r="A172" s="302"/>
      <c r="B172" s="568"/>
      <c r="C172" s="568"/>
      <c r="D172" s="302"/>
      <c r="E172" s="568"/>
    </row>
  </sheetData>
  <mergeCells count="2">
    <mergeCell ref="A2:E2"/>
    <mergeCell ref="A22:E22"/>
  </mergeCells>
  <phoneticPr fontId="9" type="noConversion"/>
  <dataValidations disablePrompts="1" count="3">
    <dataValidation allowBlank="1" showInputMessage="1" showErrorMessage="1" prompt="Celda exclusiva para la casa de habitación del contribuyente. Digite el  valor por el cual fué declarado el activo en el año gravable anterior. " sqref="B5:D5 D6:D12" xr:uid="{9542435E-E5D7-45DD-85F3-7253C970AF2B}"/>
    <dataValidation allowBlank="1" showInputMessage="1" showErrorMessage="1" prompt="Digite el  valor por el cual fué declarado el activo en el año gravable anterior" sqref="B6:C12" xr:uid="{4CEC8B39-00BC-4542-8BC7-D86E171BC87A}"/>
    <dataValidation allowBlank="1" showInputMessage="1" showErrorMessage="1" promptTitle="Digite" prompt="Digite el valor del avaluo del bien imueble  declarado en el impuesto predial  correpondiente al año gravable que está declarando._x000a__x000a_Es obligatorio digitar el valor del avalúo." sqref="E5:E12" xr:uid="{2AEA7F41-7FFE-43AB-BA15-4037036C9BB1}"/>
  </dataValidations>
  <pageMargins left="0.74803149606299213" right="0.74803149606299213" top="0.98425196850393704" bottom="0.98425196850393704" header="0" footer="0"/>
  <pageSetup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424D3-AEAC-43BD-857C-256314ADF1D6}">
  <dimension ref="A3:G58"/>
  <sheetViews>
    <sheetView showGridLines="0" topLeftCell="A31" zoomScale="160" zoomScaleNormal="160" workbookViewId="0">
      <selection activeCell="B31" sqref="B31"/>
    </sheetView>
  </sheetViews>
  <sheetFormatPr baseColWidth="10" defaultRowHeight="12.75" x14ac:dyDescent="0.2"/>
  <cols>
    <col min="1" max="1" width="38.5703125" style="302" bestFit="1" customWidth="1"/>
    <col min="2" max="2" width="16.42578125" style="302" customWidth="1"/>
    <col min="3" max="3" width="12.7109375" style="302" customWidth="1"/>
    <col min="4" max="5" width="11.42578125" style="302"/>
    <col min="6" max="6" width="14.28515625" style="302" customWidth="1"/>
    <col min="7" max="7" width="14.5703125" style="302" customWidth="1"/>
    <col min="8" max="16384" width="11.42578125" style="302"/>
  </cols>
  <sheetData>
    <row r="3" spans="1:7" x14ac:dyDescent="0.2">
      <c r="A3" s="8" t="s">
        <v>425</v>
      </c>
      <c r="B3" s="8" t="s">
        <v>285</v>
      </c>
      <c r="C3" s="313"/>
    </row>
    <row r="4" spans="1:7" x14ac:dyDescent="0.2">
      <c r="A4" s="313" t="str">
        <f>+'1 Efectivo'!A4</f>
        <v>Efectivo mantenido en caja</v>
      </c>
      <c r="B4" s="314">
        <f>+'1 Efectivo'!G4</f>
        <v>28500000</v>
      </c>
      <c r="C4" s="313" t="s">
        <v>426</v>
      </c>
    </row>
    <row r="5" spans="1:7" x14ac:dyDescent="0.2">
      <c r="A5" s="313" t="str">
        <f>+'1 Efectivo'!A5</f>
        <v>Saldo en Banco Nacional Cuenta Corriente</v>
      </c>
      <c r="B5" s="314">
        <f>+'1 Efectivo'!G5</f>
        <v>211546876</v>
      </c>
      <c r="C5" s="313" t="s">
        <v>426</v>
      </c>
    </row>
    <row r="6" spans="1:7" x14ac:dyDescent="0.2">
      <c r="A6" s="313" t="str">
        <f>+'1 Efectivo'!A6</f>
        <v>Saldo en Banco Nacional Cuenta de Ahorros</v>
      </c>
      <c r="B6" s="314">
        <f>+'1 Efectivo'!G6</f>
        <v>165432890</v>
      </c>
      <c r="C6" s="313" t="s">
        <v>426</v>
      </c>
    </row>
    <row r="7" spans="1:7" x14ac:dyDescent="0.2">
      <c r="A7" s="313" t="str">
        <f>+'1 Efectivo'!A7</f>
        <v xml:space="preserve">Saldo Banco Miami </v>
      </c>
      <c r="B7" s="314">
        <f>+'1 Efectivo'!G7</f>
        <v>345406934</v>
      </c>
      <c r="C7" s="313" t="s">
        <v>426</v>
      </c>
    </row>
    <row r="8" spans="1:7" x14ac:dyDescent="0.2">
      <c r="A8" s="313" t="str">
        <f>+'2 Inversiones'!A6</f>
        <v>Acciones Argos SA</v>
      </c>
      <c r="B8" s="314">
        <f>+'2 Inversiones'!G6</f>
        <v>46725000</v>
      </c>
      <c r="C8" s="313" t="s">
        <v>427</v>
      </c>
    </row>
    <row r="9" spans="1:7" x14ac:dyDescent="0.2">
      <c r="A9" s="313" t="str">
        <f>+'2 Inversiones'!A7</f>
        <v>Acciones Nutresa SA</v>
      </c>
      <c r="B9" s="314">
        <f>+'2 Inversiones'!G7</f>
        <v>69000000</v>
      </c>
      <c r="C9" s="313" t="s">
        <v>427</v>
      </c>
    </row>
    <row r="10" spans="1:7" x14ac:dyDescent="0.2">
      <c r="A10" s="313" t="str">
        <f>+'2 Inversiones'!A8</f>
        <v>Acciones ISA SA</v>
      </c>
      <c r="B10" s="314">
        <f>+'2 Inversiones'!G8</f>
        <v>56912000</v>
      </c>
      <c r="C10" s="313" t="s">
        <v>427</v>
      </c>
    </row>
    <row r="11" spans="1:7" x14ac:dyDescent="0.2">
      <c r="A11" s="313" t="str">
        <f>+'2 Inversiones'!A16</f>
        <v>Inversiones LVG SAS</v>
      </c>
      <c r="B11" s="314">
        <f>+'2 Inversiones'!I16</f>
        <v>45000000</v>
      </c>
      <c r="C11" s="313" t="s">
        <v>428</v>
      </c>
    </row>
    <row r="12" spans="1:7" x14ac:dyDescent="0.2">
      <c r="A12" s="313" t="str">
        <f>+'2 Inversiones'!A17</f>
        <v>Concesiones FCC SA</v>
      </c>
      <c r="B12" s="314">
        <f>+'2 Inversiones'!I17</f>
        <v>13000000</v>
      </c>
      <c r="C12" s="313" t="s">
        <v>428</v>
      </c>
      <c r="G12" s="311"/>
    </row>
    <row r="13" spans="1:7" x14ac:dyDescent="0.2">
      <c r="A13" s="313" t="str">
        <f>+'2 Inversiones'!A18</f>
        <v>Industrias LVG SAS</v>
      </c>
      <c r="B13" s="314">
        <f>+'2 Inversiones'!I18</f>
        <v>120000000</v>
      </c>
      <c r="C13" s="313" t="s">
        <v>428</v>
      </c>
      <c r="G13" s="312"/>
    </row>
    <row r="14" spans="1:7" x14ac:dyDescent="0.2">
      <c r="A14" s="313" t="str">
        <f>+'2 Inversiones'!A26</f>
        <v>Bonos Ordinarios Promigas</v>
      </c>
      <c r="B14" s="314">
        <f>+'2 Inversiones'!D26</f>
        <v>806720000</v>
      </c>
      <c r="C14" s="313" t="s">
        <v>429</v>
      </c>
    </row>
    <row r="15" spans="1:7" x14ac:dyDescent="0.2">
      <c r="A15" s="313" t="str">
        <f>+'2 Inversiones'!A27</f>
        <v>Bonos Deuda Pública EPM</v>
      </c>
      <c r="B15" s="314">
        <f>+'2 Inversiones'!D27</f>
        <v>551408000</v>
      </c>
      <c r="C15" s="313" t="s">
        <v>429</v>
      </c>
    </row>
    <row r="16" spans="1:7" x14ac:dyDescent="0.2">
      <c r="A16" s="313" t="str">
        <f>+'2 Inversiones'!A28</f>
        <v>TES B Total del 2021-03-26</v>
      </c>
      <c r="B16" s="314">
        <f>+'2 Inversiones'!D28</f>
        <v>217982500</v>
      </c>
      <c r="C16" s="313" t="s">
        <v>429</v>
      </c>
    </row>
    <row r="17" spans="1:6" x14ac:dyDescent="0.2">
      <c r="A17" s="313" t="str">
        <f>+'2 Inversiones'!A44</f>
        <v>Fondo de Pensiones Voluntarias</v>
      </c>
      <c r="B17" s="314">
        <f>+'2 Inversiones'!C44</f>
        <v>132543000</v>
      </c>
      <c r="C17" s="313" t="s">
        <v>430</v>
      </c>
      <c r="F17" s="312"/>
    </row>
    <row r="18" spans="1:6" x14ac:dyDescent="0.2">
      <c r="A18" s="313" t="str">
        <f>+'6 Fiducia'!B8</f>
        <v>Propiedades de inversión al costo</v>
      </c>
      <c r="B18" s="314">
        <f>+'6 Fiducia'!D8</f>
        <v>1300000000</v>
      </c>
      <c r="C18" s="313" t="s">
        <v>431</v>
      </c>
    </row>
    <row r="19" spans="1:6" x14ac:dyDescent="0.2">
      <c r="A19" s="313" t="str">
        <f>+'6 Fiducia'!B10</f>
        <v>Saldo en entidades financieras</v>
      </c>
      <c r="B19" s="314">
        <f>+'6 Fiducia'!D10</f>
        <v>2286400</v>
      </c>
      <c r="C19" s="313" t="s">
        <v>431</v>
      </c>
    </row>
    <row r="20" spans="1:6" x14ac:dyDescent="0.2">
      <c r="A20" s="313" t="s">
        <v>67</v>
      </c>
      <c r="B20" s="314">
        <f>+'7 Clientes'!B12-'7 Clientes'!F20</f>
        <v>931352170</v>
      </c>
      <c r="C20" s="313" t="s">
        <v>432</v>
      </c>
    </row>
    <row r="21" spans="1:6" x14ac:dyDescent="0.2">
      <c r="A21" s="313" t="str">
        <f>+'8 Prestamos'!A6</f>
        <v>Préstamo Industrias LVG SAS</v>
      </c>
      <c r="B21" s="314">
        <f>+'8 Prestamos'!G6</f>
        <v>595000000</v>
      </c>
      <c r="C21" s="313" t="s">
        <v>433</v>
      </c>
    </row>
    <row r="22" spans="1:6" x14ac:dyDescent="0.2">
      <c r="A22" s="313" t="str">
        <f>+'9 Inventario'!A6</f>
        <v>Materia prima</v>
      </c>
      <c r="B22" s="314">
        <f>+'9 Inventario'!D6</f>
        <v>63901000</v>
      </c>
      <c r="C22" s="313" t="s">
        <v>434</v>
      </c>
    </row>
    <row r="23" spans="1:6" x14ac:dyDescent="0.2">
      <c r="A23" s="313" t="str">
        <f>+'9 Inventario'!A7</f>
        <v>Productos terminados</v>
      </c>
      <c r="B23" s="314">
        <f>+'9 Inventario'!D7</f>
        <v>127640000</v>
      </c>
      <c r="C23" s="313" t="s">
        <v>434</v>
      </c>
    </row>
    <row r="24" spans="1:6" x14ac:dyDescent="0.2">
      <c r="A24" s="313" t="str">
        <f>+'11 PPYE y PI'!A5</f>
        <v xml:space="preserve">Casa habitación </v>
      </c>
      <c r="B24" s="314">
        <f>+'11 PPYE y PI'!F5</f>
        <v>215654000</v>
      </c>
      <c r="C24" s="313" t="s">
        <v>435</v>
      </c>
    </row>
    <row r="25" spans="1:6" x14ac:dyDescent="0.2">
      <c r="A25" s="313" t="str">
        <f>+'11 PPYE y PI'!A6</f>
        <v>Garaje No 8</v>
      </c>
      <c r="B25" s="314">
        <f>+'11 PPYE y PI'!F6</f>
        <v>12500000</v>
      </c>
      <c r="C25" s="313" t="s">
        <v>435</v>
      </c>
    </row>
    <row r="26" spans="1:6" x14ac:dyDescent="0.2">
      <c r="A26" s="313" t="str">
        <f>+'11 PPYE y PI'!A7</f>
        <v xml:space="preserve">Apartamento Bogotá </v>
      </c>
      <c r="B26" s="314">
        <f>+'11 PPYE y PI'!F7</f>
        <v>289800000</v>
      </c>
      <c r="C26" s="313" t="s">
        <v>435</v>
      </c>
    </row>
    <row r="27" spans="1:6" x14ac:dyDescent="0.2">
      <c r="A27" s="313" t="str">
        <f>+'11 PPYE y PI'!A8</f>
        <v>Vehículo personal KIA modelo 2016</v>
      </c>
      <c r="B27" s="314">
        <f>+'11 PPYE y PI'!F8</f>
        <v>65000000</v>
      </c>
      <c r="C27" s="313" t="s">
        <v>435</v>
      </c>
    </row>
    <row r="28" spans="1:6" x14ac:dyDescent="0.2">
      <c r="A28" s="313" t="str">
        <f>+'11 PPYE y PI'!A9</f>
        <v xml:space="preserve">Terreno rural </v>
      </c>
      <c r="B28" s="314">
        <f>+'11 PPYE y PI'!F9</f>
        <v>335000000</v>
      </c>
      <c r="C28" s="313" t="s">
        <v>435</v>
      </c>
    </row>
    <row r="29" spans="1:6" x14ac:dyDescent="0.2">
      <c r="A29" s="313" t="str">
        <f>+'11 PPYE y PI'!A10</f>
        <v>Bodega Parque Industrial Medellín</v>
      </c>
      <c r="B29" s="314">
        <f>+'11 PPYE y PI'!F10</f>
        <v>301743114.28571427</v>
      </c>
      <c r="C29" s="313" t="s">
        <v>435</v>
      </c>
    </row>
    <row r="30" spans="1:6" x14ac:dyDescent="0.2">
      <c r="A30" s="313" t="str">
        <f>+'11 PPYE y PI'!A11</f>
        <v>Muebles y enseres</v>
      </c>
      <c r="B30" s="314">
        <f>+'11 PPYE y PI'!F11</f>
        <v>31500000</v>
      </c>
      <c r="C30" s="313" t="s">
        <v>435</v>
      </c>
    </row>
    <row r="31" spans="1:6" x14ac:dyDescent="0.2">
      <c r="A31" s="313" t="str">
        <f>+'11 PPYE y PI'!A12</f>
        <v>Equipo de computo</v>
      </c>
      <c r="B31" s="314">
        <f>+'11 PPYE y PI'!F12</f>
        <v>5000000</v>
      </c>
      <c r="C31" s="313" t="s">
        <v>435</v>
      </c>
    </row>
    <row r="32" spans="1:6" x14ac:dyDescent="0.2">
      <c r="A32" s="313" t="str">
        <f>+'11 PPYE y PI'!A37</f>
        <v>Costo del vehículo de transporte</v>
      </c>
      <c r="B32" s="314">
        <f>+'11 PPYE y PI'!B39</f>
        <v>205833333.33333334</v>
      </c>
      <c r="C32" s="313" t="s">
        <v>436</v>
      </c>
    </row>
    <row r="33" spans="1:3" x14ac:dyDescent="0.2">
      <c r="A33" s="313" t="str">
        <f>+'11 PPYE y PI'!A22</f>
        <v>Anexo 11 Activos adquiridos a través de contratos de arrendamiento financiero</v>
      </c>
      <c r="B33" s="50">
        <f>SUM(B4:B32)</f>
        <v>7292387217.6190472</v>
      </c>
      <c r="C33" s="313"/>
    </row>
    <row r="34" spans="1:3" x14ac:dyDescent="0.2">
      <c r="B34" s="311"/>
    </row>
    <row r="35" spans="1:3" x14ac:dyDescent="0.2">
      <c r="B35" s="311">
        <f>+'Formulario 210'!K10</f>
        <v>7292387000</v>
      </c>
    </row>
    <row r="36" spans="1:3" x14ac:dyDescent="0.2">
      <c r="B36" s="311">
        <f>+B35-B33</f>
        <v>-217.61904716491699</v>
      </c>
    </row>
    <row r="37" spans="1:3" x14ac:dyDescent="0.2">
      <c r="B37" s="311"/>
    </row>
    <row r="38" spans="1:3" x14ac:dyDescent="0.2">
      <c r="B38" s="311"/>
    </row>
    <row r="39" spans="1:3" x14ac:dyDescent="0.2">
      <c r="B39" s="311"/>
    </row>
    <row r="40" spans="1:3" x14ac:dyDescent="0.2">
      <c r="B40" s="311"/>
    </row>
    <row r="41" spans="1:3" x14ac:dyDescent="0.2">
      <c r="B41" s="311"/>
    </row>
    <row r="42" spans="1:3" x14ac:dyDescent="0.2">
      <c r="B42" s="311"/>
    </row>
    <row r="43" spans="1:3" x14ac:dyDescent="0.2">
      <c r="B43" s="311"/>
    </row>
    <row r="44" spans="1:3" x14ac:dyDescent="0.2">
      <c r="B44" s="311"/>
    </row>
    <row r="45" spans="1:3" x14ac:dyDescent="0.2">
      <c r="B45" s="311"/>
    </row>
    <row r="46" spans="1:3" x14ac:dyDescent="0.2">
      <c r="B46" s="311"/>
    </row>
    <row r="47" spans="1:3" x14ac:dyDescent="0.2">
      <c r="B47" s="311"/>
    </row>
    <row r="48" spans="1:3" x14ac:dyDescent="0.2">
      <c r="B48" s="311"/>
    </row>
    <row r="49" spans="2:2" x14ac:dyDescent="0.2">
      <c r="B49" s="311"/>
    </row>
    <row r="50" spans="2:2" x14ac:dyDescent="0.2">
      <c r="B50" s="311"/>
    </row>
    <row r="51" spans="2:2" x14ac:dyDescent="0.2">
      <c r="B51" s="311"/>
    </row>
    <row r="52" spans="2:2" x14ac:dyDescent="0.2">
      <c r="B52" s="311"/>
    </row>
    <row r="53" spans="2:2" x14ac:dyDescent="0.2">
      <c r="B53" s="311"/>
    </row>
    <row r="54" spans="2:2" x14ac:dyDescent="0.2">
      <c r="B54" s="311"/>
    </row>
    <row r="55" spans="2:2" x14ac:dyDescent="0.2">
      <c r="B55" s="311"/>
    </row>
    <row r="56" spans="2:2" x14ac:dyDescent="0.2">
      <c r="B56" s="311"/>
    </row>
    <row r="57" spans="2:2" x14ac:dyDescent="0.2">
      <c r="B57" s="311"/>
    </row>
    <row r="58" spans="2:2" x14ac:dyDescent="0.2">
      <c r="B58" s="311"/>
    </row>
  </sheetData>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8"/>
  <sheetViews>
    <sheetView showGridLines="0" topLeftCell="B10" zoomScale="200" zoomScaleNormal="200" workbookViewId="0">
      <selection activeCell="E16" sqref="E16"/>
    </sheetView>
  </sheetViews>
  <sheetFormatPr baseColWidth="10" defaultColWidth="11.5703125" defaultRowHeight="12.75" x14ac:dyDescent="0.2"/>
  <cols>
    <col min="1" max="1" width="35.85546875" style="5" customWidth="1"/>
    <col min="2" max="2" width="13.42578125" style="5" customWidth="1"/>
    <col min="3" max="3" width="15.42578125" style="5" customWidth="1"/>
    <col min="4" max="4" width="14.7109375" style="5" customWidth="1"/>
    <col min="5" max="5" width="13.85546875" style="5" customWidth="1"/>
    <col min="6" max="6" width="11.5703125" style="5"/>
    <col min="7" max="7" width="14.5703125" style="5" customWidth="1"/>
    <col min="8" max="16384" width="11.5703125" style="5"/>
  </cols>
  <sheetData>
    <row r="1" spans="1:5" x14ac:dyDescent="0.2">
      <c r="A1" s="571" t="s">
        <v>710</v>
      </c>
      <c r="B1" s="571"/>
      <c r="C1" s="571"/>
      <c r="D1" s="571"/>
    </row>
    <row r="3" spans="1:5" x14ac:dyDescent="0.2">
      <c r="A3" s="572" t="s">
        <v>48</v>
      </c>
      <c r="B3" s="572" t="s">
        <v>77</v>
      </c>
      <c r="C3" s="572" t="s">
        <v>78</v>
      </c>
      <c r="D3" s="572" t="s">
        <v>76</v>
      </c>
    </row>
    <row r="4" spans="1:5" x14ac:dyDescent="0.2">
      <c r="A4" s="572"/>
      <c r="B4" s="572"/>
      <c r="C4" s="572"/>
      <c r="D4" s="572"/>
    </row>
    <row r="5" spans="1:5" x14ac:dyDescent="0.2">
      <c r="A5" s="313" t="s">
        <v>437</v>
      </c>
      <c r="B5" s="21">
        <v>42928</v>
      </c>
      <c r="C5" s="21">
        <v>45850</v>
      </c>
      <c r="D5" s="4">
        <v>165764543</v>
      </c>
      <c r="E5" s="302" t="s">
        <v>731</v>
      </c>
    </row>
    <row r="6" spans="1:5" x14ac:dyDescent="0.2">
      <c r="A6" s="313" t="s">
        <v>439</v>
      </c>
      <c r="B6" s="21">
        <v>43983</v>
      </c>
      <c r="C6" s="21">
        <v>45808</v>
      </c>
      <c r="D6" s="4">
        <f>+'11 PPYE y PI'!B41</f>
        <v>127411433.63124631</v>
      </c>
      <c r="E6" s="302" t="s">
        <v>731</v>
      </c>
    </row>
    <row r="7" spans="1:5" x14ac:dyDescent="0.2">
      <c r="A7" s="313" t="s">
        <v>440</v>
      </c>
      <c r="B7" s="21"/>
      <c r="C7" s="21"/>
      <c r="D7" s="4">
        <f>+'6 Fiducia'!D11</f>
        <v>613596153</v>
      </c>
      <c r="E7" s="302" t="s">
        <v>732</v>
      </c>
    </row>
    <row r="8" spans="1:5" x14ac:dyDescent="0.2">
      <c r="A8" s="313" t="s">
        <v>441</v>
      </c>
      <c r="B8" s="21"/>
      <c r="C8" s="21"/>
      <c r="D8" s="4">
        <v>12765000</v>
      </c>
      <c r="E8" s="302" t="s">
        <v>733</v>
      </c>
    </row>
    <row r="9" spans="1:5" x14ac:dyDescent="0.2">
      <c r="A9" s="313" t="s">
        <v>442</v>
      </c>
      <c r="B9" s="21"/>
      <c r="C9" s="21"/>
      <c r="D9" s="4">
        <v>11543000</v>
      </c>
      <c r="E9" s="302" t="s">
        <v>734</v>
      </c>
    </row>
    <row r="10" spans="1:5" x14ac:dyDescent="0.2">
      <c r="A10" s="313" t="s">
        <v>443</v>
      </c>
      <c r="B10" s="21"/>
      <c r="C10" s="21"/>
      <c r="D10" s="4">
        <v>6123000</v>
      </c>
      <c r="E10" s="302" t="s">
        <v>735</v>
      </c>
    </row>
    <row r="11" spans="1:5" x14ac:dyDescent="0.2">
      <c r="A11" s="313" t="s">
        <v>444</v>
      </c>
      <c r="B11" s="21"/>
      <c r="C11" s="21"/>
      <c r="D11" s="4">
        <v>12543000</v>
      </c>
      <c r="E11" s="302" t="s">
        <v>736</v>
      </c>
    </row>
    <row r="12" spans="1:5" x14ac:dyDescent="0.2">
      <c r="A12" s="313" t="s">
        <v>445</v>
      </c>
      <c r="B12" s="21"/>
      <c r="C12" s="21"/>
      <c r="D12" s="4">
        <v>67543000</v>
      </c>
      <c r="E12" s="302" t="s">
        <v>737</v>
      </c>
    </row>
    <row r="13" spans="1:5" x14ac:dyDescent="0.2">
      <c r="A13" s="313" t="s">
        <v>446</v>
      </c>
      <c r="B13" s="21"/>
      <c r="C13" s="21"/>
      <c r="D13" s="4">
        <v>4500000</v>
      </c>
      <c r="E13" s="302" t="s">
        <v>738</v>
      </c>
    </row>
    <row r="14" spans="1:5" x14ac:dyDescent="0.2">
      <c r="A14" s="313" t="s">
        <v>447</v>
      </c>
      <c r="B14" s="21"/>
      <c r="C14" s="21"/>
      <c r="D14" s="4">
        <v>11234000</v>
      </c>
      <c r="E14" s="302" t="s">
        <v>739</v>
      </c>
    </row>
    <row r="15" spans="1:5" x14ac:dyDescent="0.2">
      <c r="A15" s="313" t="s">
        <v>448</v>
      </c>
      <c r="B15" s="21"/>
      <c r="C15" s="21"/>
      <c r="D15" s="4">
        <f>+B21</f>
        <v>143449000</v>
      </c>
      <c r="E15" s="302" t="s">
        <v>752</v>
      </c>
    </row>
    <row r="16" spans="1:5" x14ac:dyDescent="0.2">
      <c r="A16" s="313" t="s">
        <v>438</v>
      </c>
      <c r="B16" s="21"/>
      <c r="C16" s="21"/>
      <c r="D16" s="4">
        <v>12765000</v>
      </c>
      <c r="E16" s="302" t="s">
        <v>740</v>
      </c>
    </row>
    <row r="17" spans="1:5" x14ac:dyDescent="0.2">
      <c r="A17" s="15" t="s">
        <v>220</v>
      </c>
      <c r="B17" s="15"/>
      <c r="C17" s="15"/>
      <c r="D17" s="239">
        <f>SUM(D5:D16)</f>
        <v>1189237129.6312463</v>
      </c>
    </row>
    <row r="21" spans="1:5" x14ac:dyDescent="0.2">
      <c r="A21" s="6" t="s">
        <v>448</v>
      </c>
      <c r="B21" s="45">
        <f>SUM(B22:B24)</f>
        <v>143449000</v>
      </c>
      <c r="C21" s="52"/>
    </row>
    <row r="22" spans="1:5" x14ac:dyDescent="0.2">
      <c r="A22" s="302" t="s">
        <v>497</v>
      </c>
      <c r="B22" s="328">
        <f>+'Formulario 210'!Z48</f>
        <v>161259000</v>
      </c>
      <c r="C22" s="52"/>
    </row>
    <row r="23" spans="1:5" x14ac:dyDescent="0.2">
      <c r="A23" s="302" t="s">
        <v>498</v>
      </c>
      <c r="B23" s="329">
        <f>-'Formulario 210'!AH44</f>
        <v>0</v>
      </c>
      <c r="C23" s="52"/>
    </row>
    <row r="24" spans="1:5" x14ac:dyDescent="0.2">
      <c r="A24" s="302" t="s">
        <v>499</v>
      </c>
      <c r="B24" s="329">
        <f>-'Formulario 210'!AH46</f>
        <v>-17810000</v>
      </c>
      <c r="C24" s="52"/>
    </row>
    <row r="25" spans="1:5" x14ac:dyDescent="0.2">
      <c r="B25" s="52"/>
      <c r="C25" s="52"/>
    </row>
    <row r="26" spans="1:5" x14ac:dyDescent="0.2">
      <c r="B26" s="52"/>
      <c r="C26" s="52"/>
    </row>
    <row r="27" spans="1:5" x14ac:dyDescent="0.2">
      <c r="B27" s="52"/>
      <c r="C27" s="52"/>
    </row>
    <row r="28" spans="1:5" x14ac:dyDescent="0.2">
      <c r="B28" s="52"/>
      <c r="C28" s="52"/>
    </row>
    <row r="29" spans="1:5" x14ac:dyDescent="0.2">
      <c r="B29" s="52"/>
      <c r="C29" s="564"/>
      <c r="D29" s="564"/>
      <c r="E29" s="564"/>
    </row>
    <row r="30" spans="1:5" x14ac:dyDescent="0.2">
      <c r="E30" s="564"/>
    </row>
    <row r="31" spans="1:5" x14ac:dyDescent="0.2">
      <c r="E31" s="564"/>
    </row>
    <row r="32" spans="1:5" x14ac:dyDescent="0.2">
      <c r="E32" s="564"/>
    </row>
    <row r="33" spans="3:5" x14ac:dyDescent="0.2">
      <c r="E33" s="564"/>
    </row>
    <row r="34" spans="3:5" x14ac:dyDescent="0.2">
      <c r="E34" s="564"/>
    </row>
    <row r="35" spans="3:5" x14ac:dyDescent="0.2">
      <c r="E35" s="564"/>
    </row>
    <row r="36" spans="3:5" x14ac:dyDescent="0.2">
      <c r="E36" s="564"/>
    </row>
    <row r="37" spans="3:5" x14ac:dyDescent="0.2">
      <c r="C37" s="564"/>
      <c r="D37" s="564"/>
      <c r="E37" s="564"/>
    </row>
    <row r="38" spans="3:5" s="325" customFormat="1" x14ac:dyDescent="0.2"/>
  </sheetData>
  <mergeCells count="5">
    <mergeCell ref="A3:A4"/>
    <mergeCell ref="B3:B4"/>
    <mergeCell ref="C3:C4"/>
    <mergeCell ref="A1:D1"/>
    <mergeCell ref="D3:D4"/>
  </mergeCells>
  <phoneticPr fontId="9" type="noConversion"/>
  <pageMargins left="0.74803149606299213" right="0.74803149606299213" top="0.98425196850393704" bottom="0.98425196850393704" header="0" footer="0"/>
  <pageSetup scale="85"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1 Efectivo</vt:lpstr>
      <vt:lpstr>2 Inversiones</vt:lpstr>
      <vt:lpstr>6 Fiducia</vt:lpstr>
      <vt:lpstr>7 Clientes</vt:lpstr>
      <vt:lpstr>8 Prestamos</vt:lpstr>
      <vt:lpstr>9 Inventario</vt:lpstr>
      <vt:lpstr>11 PPYE y PI</vt:lpstr>
      <vt:lpstr>13 PB</vt:lpstr>
      <vt:lpstr>14 Deudas</vt:lpstr>
      <vt:lpstr>15 CG RT</vt:lpstr>
      <vt:lpstr>16 CG RC</vt:lpstr>
      <vt:lpstr>17 CG RNL</vt:lpstr>
      <vt:lpstr>18 Limite CG</vt:lpstr>
      <vt:lpstr>19 RP</vt:lpstr>
      <vt:lpstr>20 Div</vt:lpstr>
      <vt:lpstr>21 GO</vt:lpstr>
      <vt:lpstr>22 Tarifas</vt:lpstr>
      <vt:lpstr>23 DT</vt:lpstr>
      <vt:lpstr>24 Anticipo</vt:lpstr>
      <vt:lpstr>25 Justificacion</vt:lpstr>
      <vt:lpstr>Costo art 73</vt:lpstr>
      <vt:lpstr>Formulario 2020</vt:lpstr>
      <vt:lpstr>Formulario 210</vt:lpstr>
    </vt:vector>
  </TitlesOfParts>
  <Company>PERSONAL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ELIECER</dc:creator>
  <cp:lastModifiedBy>Leonardo Varón</cp:lastModifiedBy>
  <cp:lastPrinted>2018-05-08T14:53:57Z</cp:lastPrinted>
  <dcterms:created xsi:type="dcterms:W3CDTF">2005-04-14T02:47:41Z</dcterms:created>
  <dcterms:modified xsi:type="dcterms:W3CDTF">2023-04-24T21:52:50Z</dcterms:modified>
</cp:coreProperties>
</file>